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xWindow="0" yWindow="0" windowWidth="28800" windowHeight="16000"/>
  </bookViews>
  <sheets>
    <sheet name="Catálogo" sheetId="1" r:id="rId1"/>
  </sheets>
  <definedNames>
    <definedName name="_xlnm._FilterDatabase" localSheetId="0" hidden="1">'Catálogo'!$A$1:$J$306</definedName>
    <definedName name="_xlnm.Print_Area" localSheetId="0">'Catálogo'!$A$1:$H$306</definedName>
    <definedName name="_xlnm.Print_Titles" localSheetId="0">'Catálogo'!$1:$1</definedName>
  </definedNames>
  <calcPr calcId="191029" fullCalcOnLoad="1"/>
</workbook>
</file>

<file path=xl/sharedStrings.xml><?xml version="1.0" encoding="utf-8"?>
<sst xmlns="http://schemas.openxmlformats.org/spreadsheetml/2006/main" count="1379" uniqueCount="616">
  <si>
    <t xml:space="preserve">Título</t>
  </si>
  <si>
    <t xml:space="preserve">Autores</t>
  </si>
  <si>
    <t xml:space="preserve">Colección</t>
  </si>
  <si>
    <t xml:space="preserve">Idioma</t>
  </si>
  <si>
    <t xml:space="preserve">Año</t>
  </si>
  <si>
    <t xml:space="preserve">Páginas</t>
  </si>
  <si>
    <t xml:space="preserve">Precio (€)</t>
  </si>
  <si>
    <t xml:space="preserve">ISBN</t>
  </si>
  <si>
    <t xml:space="preserve">Enlace</t>
  </si>
  <si>
    <t xml:space="preserve">Portada</t>
  </si>
  <si>
    <t xml:space="preserve">La revolución ética</t>
  </si>
  <si>
    <t xml:space="preserve">Carlos Núñez Hurtado</t>
  </si>
  <si>
    <t xml:space="preserve">Aprendizajes, posiciones y procesos</t>
  </si>
  <si>
    <t xml:space="preserve">Castellano</t>
  </si>
  <si>
    <t xml:space="preserve">84-931721-0-3</t>
  </si>
  <si>
    <t xml:space="preserve">Pensar la práctica para transformarla</t>
  </si>
  <si>
    <t xml:space="preserve">Miguel Escobar Guerrero</t>
  </si>
  <si>
    <t xml:space="preserve">84-931721-3-8</t>
  </si>
  <si>
    <t xml:space="preserve">Sociedad civil, cultura democrática</t>
  </si>
  <si>
    <t xml:space="preserve">Antonio Elizalde, Manfred Max-Neef</t>
  </si>
  <si>
    <t xml:space="preserve">84-931721-6-2</t>
  </si>
  <si>
    <t xml:space="preserve">La mediación pedagógica</t>
  </si>
  <si>
    <t xml:space="preserve">Francisco Gutiérrez Pérez, Daniel Prieto Castillo</t>
  </si>
  <si>
    <t xml:space="preserve">84-95715-02-3</t>
  </si>
  <si>
    <t xml:space="preserve">Pedagogía de la praxis</t>
  </si>
  <si>
    <t xml:space="preserve">Moacir Gadotti</t>
  </si>
  <si>
    <t xml:space="preserve">84-95715-03-1</t>
  </si>
  <si>
    <t xml:space="preserve">Trabajo y ciudadanía</t>
  </si>
  <si>
    <t xml:space="preserve">Giuseppe Cocco</t>
  </si>
  <si>
    <t xml:space="preserve">84-931721-9-7</t>
  </si>
  <si>
    <t xml:space="preserve">Democracia local y desarrollo</t>
  </si>
  <si>
    <t xml:space="preserve">T.M. Thomas Isaac, Richard W. Franke</t>
  </si>
  <si>
    <t xml:space="preserve">84-933440-1-X</t>
  </si>
  <si>
    <t xml:space="preserve">En la frontera. Raymond Williams en la educación y formación de personas adultas</t>
  </si>
  <si>
    <t xml:space="preserve">John McIlroy, Sallie Westwood</t>
  </si>
  <si>
    <t xml:space="preserve">84-933440-2-8</t>
  </si>
  <si>
    <t xml:space="preserve">Sistematizando experiencias</t>
  </si>
  <si>
    <t xml:space="preserve">Óscar Jara Holliday</t>
  </si>
  <si>
    <t xml:space="preserve">84-933440-6-0</t>
  </si>
  <si>
    <t xml:space="preserve">Escuela ciudadana</t>
  </si>
  <si>
    <t xml:space="preserve">José Clóvis de Azevedo</t>
  </si>
  <si>
    <t xml:space="preserve">84-933440-8-7</t>
  </si>
  <si>
    <t xml:space="preserve">Educación de personas adultas viva</t>
  </si>
  <si>
    <t xml:space="preserve">Gerry Kirkwood, Colin Kirkwood</t>
  </si>
  <si>
    <t xml:space="preserve">978-84-935787-0-1</t>
  </si>
  <si>
    <t xml:space="preserve">Vivir la escuela, vivir la democracia</t>
  </si>
  <si>
    <t xml:space="preserve">Juan Miguel Batalloso Navas</t>
  </si>
  <si>
    <t xml:space="preserve">978-84-935787-6-3</t>
  </si>
  <si>
    <t xml:space="preserve">Desarrollo comunitario y educación</t>
  </si>
  <si>
    <t xml:space="preserve">António Fragoso Almeida</t>
  </si>
  <si>
    <t xml:space="preserve">978-84-937015-0-5</t>
  </si>
  <si>
    <t xml:space="preserve">Pedagogía sin complejos</t>
  </si>
  <si>
    <t xml:space="preserve">Xavier Besalú Costa</t>
  </si>
  <si>
    <t xml:space="preserve">978-84-937015-1-2</t>
  </si>
  <si>
    <t xml:space="preserve">La educación como praxis política</t>
  </si>
  <si>
    <t xml:space="preserve">Francisco Gutiérrez Pérez</t>
  </si>
  <si>
    <t xml:space="preserve">978-84-95715-16-6</t>
  </si>
  <si>
    <t xml:space="preserve">Enseñar, aprender, salvarse</t>
  </si>
  <si>
    <t xml:space="preserve">Lan Daukaia, Lan Takaia, Swakwi Takaia</t>
  </si>
  <si>
    <t xml:space="preserve">Diálogo</t>
  </si>
  <si>
    <t xml:space="preserve">Paulo Freire, Iván Illich</t>
  </si>
  <si>
    <t xml:space="preserve">Narrando Paulo Freire</t>
  </si>
  <si>
    <t xml:space="preserve">Paolo Vittoria</t>
  </si>
  <si>
    <t xml:space="preserve">Mito e imaginario • empalabrar el mundo en los paradigmas de la educación popular</t>
  </si>
  <si>
    <t xml:space="preserve">Marco Antonio Jiménez García, Ana María Valle Vázquez</t>
  </si>
  <si>
    <t xml:space="preserve">Filosofía latinoamericana en la pedagogía de Paulo Freire - influencias y relaciones hasta 1970</t>
  </si>
  <si>
    <t xml:space="preserve">Diego Morollón del Río</t>
  </si>
  <si>
    <t xml:space="preserve">Pedagogia de l'autonomia</t>
  </si>
  <si>
    <t xml:space="preserve">Paulo Freire</t>
  </si>
  <si>
    <t xml:space="preserve">Biblioteca Paulo Freire</t>
  </si>
  <si>
    <t xml:space="preserve">Catalán</t>
  </si>
  <si>
    <t xml:space="preserve">84-932699-4-8</t>
  </si>
  <si>
    <t xml:space="preserve">Paulo Freire, un encontre crític</t>
  </si>
  <si>
    <t xml:space="preserve">Peter McLaren, Peter Leonard</t>
  </si>
  <si>
    <t xml:space="preserve">84-932699-3-X</t>
  </si>
  <si>
    <t xml:space="preserve">Un discurs sobre les ciències. Introducció a una ciència postmoderna</t>
  </si>
  <si>
    <t xml:space="preserve">Boaventura de Sousa Santos</t>
  </si>
  <si>
    <t xml:space="preserve">84-932699-5-6</t>
  </si>
  <si>
    <t xml:space="preserve">L'educació a la ciutat</t>
  </si>
  <si>
    <t xml:space="preserve">84-933402-1-9</t>
  </si>
  <si>
    <t xml:space="preserve">Llegint Freire i Habermas</t>
  </si>
  <si>
    <t xml:space="preserve">Raymon Allen Morrow, Carlos Alberto Torres</t>
  </si>
  <si>
    <t xml:space="preserve">84-933402-2-7</t>
  </si>
  <si>
    <t xml:space="preserve">Democràcia local i desenvolupament</t>
  </si>
  <si>
    <t xml:space="preserve">84-933402-3-5</t>
  </si>
  <si>
    <t xml:space="preserve">Pedagogia de l'esperança</t>
  </si>
  <si>
    <t xml:space="preserve">84-933402-9-4</t>
  </si>
  <si>
    <t xml:space="preserve">Educació i Democràcia. Paulo Freire, moviments socials i reforma educativa</t>
  </si>
  <si>
    <t xml:space="preserve">Carlos Alberto Torres, María del Pilar O'Cadiz, Pía Lindquist Wong</t>
  </si>
  <si>
    <t xml:space="preserve">84-934152-0-0</t>
  </si>
  <si>
    <t xml:space="preserve">Fer parlar l'experiència. Dues mil una dones que canvien Itàlia</t>
  </si>
  <si>
    <t xml:space="preserve">Annarosa Buttarelli</t>
  </si>
  <si>
    <t xml:space="preserve">Cartes a Guinea-bissau. Registres d'una experiència en procés</t>
  </si>
  <si>
    <t xml:space="preserve">84-934152-5-1</t>
  </si>
  <si>
    <t xml:space="preserve">Llegint Paulo Freire</t>
  </si>
  <si>
    <t xml:space="preserve">84-934152-4-3</t>
  </si>
  <si>
    <t xml:space="preserve">Formar i formar-se en la creació social</t>
  </si>
  <si>
    <t xml:space="preserve">Anna Maria Piussi</t>
  </si>
  <si>
    <t xml:space="preserve">84-934585-1-1</t>
  </si>
  <si>
    <t xml:space="preserve">Pedagogia de l'oprimit</t>
  </si>
  <si>
    <t xml:space="preserve">84-935267-0-3</t>
  </si>
  <si>
    <t xml:space="preserve">Pedagogia de la lluita. De la pedagogia de l'oprimit a l'escola pública popular</t>
  </si>
  <si>
    <t xml:space="preserve">Carlos Alberto Torres</t>
  </si>
  <si>
    <t xml:space="preserve">84-934585-7-0</t>
  </si>
  <si>
    <t xml:space="preserve">Teoria crítica i condició humana</t>
  </si>
  <si>
    <t xml:space="preserve">Michael Peters, Colin Lankshear, Mark Olssen</t>
  </si>
  <si>
    <t xml:space="preserve">84-934585-5-4</t>
  </si>
  <si>
    <t xml:space="preserve">Sendes de Freire: opressions, resistències i emancipacions en un nou paradigma de vida</t>
  </si>
  <si>
    <t xml:space="preserve">Isabel Aparicio Guadas, Dolors Monferrer Ferrando, Pascual Murcia, Pep Aparicio Guadas</t>
  </si>
  <si>
    <t xml:space="preserve">84-934585-9-7</t>
  </si>
  <si>
    <t xml:space="preserve">La importància de llegir i el procés d'alliberament</t>
  </si>
  <si>
    <t xml:space="preserve">978-84-935517-8-0</t>
  </si>
  <si>
    <t xml:space="preserve">Paulo Freire en el temps present</t>
  </si>
  <si>
    <t xml:space="preserve">Afonso Celso Scocuglia</t>
  </si>
  <si>
    <t xml:space="preserve">978-84-935517-9-7</t>
  </si>
  <si>
    <t xml:space="preserve">Praxi de l'esperança</t>
  </si>
  <si>
    <t xml:space="preserve">Daniel Jover</t>
  </si>
  <si>
    <t xml:space="preserve">978-84-935267-5-7</t>
  </si>
  <si>
    <t xml:space="preserve">L'educació com a pràctica de la llibertat</t>
  </si>
  <si>
    <t xml:space="preserve">978-84-936246-7-5</t>
  </si>
  <si>
    <t xml:space="preserve">La praxi alliberadora. El llegat de Paulo Freire per a l'educació radical i política</t>
  </si>
  <si>
    <t xml:space="preserve">Peter Mayo</t>
  </si>
  <si>
    <t xml:space="preserve">Educació permanent, globalització i movimients socials. Producció de subjectivitat, creació social i potència</t>
  </si>
  <si>
    <t xml:space="preserve">Peter Mayo, Vita Cosentino, Licínio C. Lima, Paula Guimarães, Sabina Habegger Lardoeyt, José Ignacio Rivas Flores, Col·lectiu Situaciones, Raúl Leis, José Clóvis de Azevedo, Maria de Fátima Baierle, Antonia de Vita, Ho Chia Chuen, Colin Lankshear, Michele Knobel, Raúl Sánchez Cedillo, Pep Aparicio Guadas</t>
  </si>
  <si>
    <t xml:space="preserve">978-84-936246-8-2</t>
  </si>
  <si>
    <t xml:space="preserve">La lectura, i l'escriptura, del món de Paulo Freire</t>
  </si>
  <si>
    <t xml:space="preserve">Pep Aparicio Guadas, Sebas Parra Nuño</t>
  </si>
  <si>
    <t xml:space="preserve">978-84-937284-5-8</t>
  </si>
  <si>
    <t xml:space="preserve">Educació, alfabetització i humanització</t>
  </si>
  <si>
    <t xml:space="preserve">Peter Roberts</t>
  </si>
  <si>
    <t xml:space="preserve">978-84-937284-2-7</t>
  </si>
  <si>
    <t xml:space="preserve">Ètica de l'alliberament</t>
  </si>
  <si>
    <t xml:space="preserve">José Luis Rebellato</t>
  </si>
  <si>
    <t xml:space="preserve">978-84-937284-3-4</t>
  </si>
  <si>
    <t xml:space="preserve">Paulo Freire por una pedagogia de la pregunta</t>
  </si>
  <si>
    <t xml:space="preserve">978-84-937772-0-3</t>
  </si>
  <si>
    <t xml:space="preserve">Reinventando Paulo Freire: una pedagogia de l'amor</t>
  </si>
  <si>
    <t xml:space="preserve">Antonia Darder</t>
  </si>
  <si>
    <t xml:space="preserve">978-84-937772-1-0</t>
  </si>
  <si>
    <t xml:space="preserve">Foucault i l'aprenentatge permanent: governant el subjecte</t>
  </si>
  <si>
    <t xml:space="preserve">Andreas Fejes, Katherine Nicoll</t>
  </si>
  <si>
    <t xml:space="preserve">978-84-15103-01-1</t>
  </si>
  <si>
    <t xml:space="preserve">Acció cultural per a la llibertat</t>
  </si>
  <si>
    <t xml:space="preserve">978-84-15103-09-7</t>
  </si>
  <si>
    <t xml:space="preserve">Educació al llarg de la vida</t>
  </si>
  <si>
    <t xml:space="preserve">Licínio C. Lima</t>
  </si>
  <si>
    <t xml:space="preserve">978-84-15103-16-5</t>
  </si>
  <si>
    <t xml:space="preserve">Conversar de conversar. Implicacions educatives del paradigma emergent</t>
  </si>
  <si>
    <t xml:space="preserve">978-84-15103-10-3</t>
  </si>
  <si>
    <t xml:space="preserve">Educació i canvi</t>
  </si>
  <si>
    <t xml:space="preserve">978-84-15103-18-9</t>
  </si>
  <si>
    <t xml:space="preserve">Capitalistes i conqueridors. Una pedagogia crítica contra l’imperi</t>
  </si>
  <si>
    <t xml:space="preserve">Peter McLaren</t>
  </si>
  <si>
    <t xml:space="preserve">978-84-15103-19-6</t>
  </si>
  <si>
    <t xml:space="preserve">Por i gosadia</t>
  </si>
  <si>
    <t xml:space="preserve">Paulo Freire, Ira Shor</t>
  </si>
  <si>
    <t xml:space="preserve">978-84-941213-0-2</t>
  </si>
  <si>
    <t xml:space="preserve">Aprenent amb persones adultes. Una introducció crítica i pedagògica</t>
  </si>
  <si>
    <t xml:space="preserve">Leona M. English, Peter Mayo</t>
  </si>
  <si>
    <t xml:space="preserve">978-84-15103-30-1</t>
  </si>
  <si>
    <t xml:space="preserve">Biograficitat. Aspects d'una nova terapia de l'aprenentatge social</t>
  </si>
  <si>
    <t xml:space="preserve">Educació per a la transformació social</t>
  </si>
  <si>
    <t xml:space="preserve">David Abril Hervas, Iolanda Corella Llopis, Mercè Morey López, Pep Aparicio Guadas</t>
  </si>
  <si>
    <t xml:space="preserve">Alfabetització, salut i emancipacions</t>
  </si>
  <si>
    <t xml:space="preserve">Ana María Valle Vázquez, Marco Antonio Jiménez García, Agustí Pascual Cabo, Marina Aparicio Barberán, Iolanda Corella Llopis, Paqui Borox López, Pep Aparicio Guadas</t>
  </si>
  <si>
    <t xml:space="preserve">Coediciones</t>
  </si>
  <si>
    <t xml:space="preserve">Simiente de primavera</t>
  </si>
  <si>
    <t xml:space="preserve">Francisco Gutiérrez Pérez, Cruz Prado</t>
  </si>
  <si>
    <t xml:space="preserve">84-95715-01-5</t>
  </si>
  <si>
    <t xml:space="preserve">Organització escolar i democràcia radical</t>
  </si>
  <si>
    <t xml:space="preserve">84-932699-1-3</t>
  </si>
  <si>
    <t xml:space="preserve">Gramsci, Freire i l'educació de persones adultes</t>
  </si>
  <si>
    <t xml:space="preserve">84-932699-7-2</t>
  </si>
  <si>
    <t xml:space="preserve">Pedagogia dialògica</t>
  </si>
  <si>
    <t xml:space="preserve">José Eustáquio Romão</t>
  </si>
  <si>
    <t xml:space="preserve">84-932699-8-0</t>
  </si>
  <si>
    <t xml:space="preserve">Diàleg</t>
  </si>
  <si>
    <t xml:space="preserve">84-933402-5-1</t>
  </si>
  <si>
    <t xml:space="preserve">Globalización y educación</t>
  </si>
  <si>
    <t xml:space="preserve">António Teodoro</t>
  </si>
  <si>
    <t xml:space="preserve">84-933402-4-3</t>
  </si>
  <si>
    <t xml:space="preserve">Ecopedagogía y ciudadanía planetaria</t>
  </si>
  <si>
    <t xml:space="preserve">84-933440-0-1</t>
  </si>
  <si>
    <t xml:space="preserve">Pedagogia de la terra</t>
  </si>
  <si>
    <t xml:space="preserve">84-933402-8-6</t>
  </si>
  <si>
    <t xml:space="preserve">Escola ciutadana: desafiaments, diàlegs i travessies</t>
  </si>
  <si>
    <t xml:space="preserve">84-934152-6-X</t>
  </si>
  <si>
    <t xml:space="preserve">Educación, democracia y emancipación</t>
  </si>
  <si>
    <t xml:space="preserve">Emilio Lucio-Villegas Ramos, Pep Aparicio Guadas</t>
  </si>
  <si>
    <t xml:space="preserve">84-933440-3-6</t>
  </si>
  <si>
    <t xml:space="preserve">Exclusión social, exclusión educativa. Lógicas contemporáneas</t>
  </si>
  <si>
    <t xml:space="preserve">José G. Molina</t>
  </si>
  <si>
    <t xml:space="preserve">84-933440-5-2</t>
  </si>
  <si>
    <t xml:space="preserve">Escuela ciudadana: retos, diálogos y travesías</t>
  </si>
  <si>
    <t xml:space="preserve">Educación para la emancipación</t>
  </si>
  <si>
    <t xml:space="preserve">Emilio Lucio-Villegas Ramos</t>
  </si>
  <si>
    <t xml:space="preserve">84-933440-7-9</t>
  </si>
  <si>
    <t xml:space="preserve">Adult learning and the challenges of social and cultural diversity: diverse lives, cultures, learnings and literacies. Libro 1</t>
  </si>
  <si>
    <t xml:space="preserve">Emilio Lucio-Villegas Ramos, María del Carmen Martínez</t>
  </si>
  <si>
    <t xml:space="preserve">Inglés</t>
  </si>
  <si>
    <t xml:space="preserve">978-84-935787-1-8</t>
  </si>
  <si>
    <t xml:space="preserve">Adult learning and the challenges of social and cultural diversity: diverse lives, cultures, learnings and literacies. Libro 2</t>
  </si>
  <si>
    <t xml:space="preserve">Adult learning and the challenges of social and cultural diversity: diverse lives, cultures, learnings and literacies. Libro 3</t>
  </si>
  <si>
    <t xml:space="preserve">Educación de personas adultas viva. Freire en escocia</t>
  </si>
  <si>
    <t xml:space="preserve">Ecociudadanía: participación, ética y perspectiva de género</t>
  </si>
  <si>
    <t xml:space="preserve">Dolores Limón Domínguez</t>
  </si>
  <si>
    <t xml:space="preserve">978-84-935787-8-7</t>
  </si>
  <si>
    <t xml:space="preserve">Vivir la escuela, vivir la democracia. Actualidad de la SAFA de Riotinto</t>
  </si>
  <si>
    <t xml:space="preserve">Guia per als cercles de cultura. El procés d’aprendre i ensenyar en l’educació permanent</t>
  </si>
  <si>
    <t xml:space="preserve">Pascual Murcia, Iolanda Corella Llopis, Dolors Monferrer Ferrando, Juan Carlos Pallarés, Mª José Picher, Remedios Tebar</t>
  </si>
  <si>
    <t xml:space="preserve">978-84-937284-9-6</t>
  </si>
  <si>
    <t xml:space="preserve">Pedagogia sin complejos</t>
  </si>
  <si>
    <t xml:space="preserve">El aprendizaje a lo largo de la vida: una propuesta de futuro</t>
  </si>
  <si>
    <t xml:space="preserve">Manuel Martí Puig, Mª Luisa Sánchiz Ruiz</t>
  </si>
  <si>
    <t xml:space="preserve">8415103026</t>
  </si>
  <si>
    <t xml:space="preserve">Guía para el aprendizaje experiencial</t>
  </si>
  <si>
    <t xml:space="preserve">Piergiorgio Reggio</t>
  </si>
  <si>
    <t xml:space="preserve">978-84-15103-05-9</t>
  </si>
  <si>
    <t xml:space="preserve">La segunda generación de inmigrantes en Huelva: estudio HIJAI</t>
  </si>
  <si>
    <t xml:space="preserve">Estrella Gualda Caballero</t>
  </si>
  <si>
    <t xml:space="preserve">978-84-937015-3-6</t>
  </si>
  <si>
    <t xml:space="preserve">La determinación del mercado</t>
  </si>
  <si>
    <t xml:space="preserve">Loris Viviani</t>
  </si>
  <si>
    <t xml:space="preserve">978-84-15103-14-1</t>
  </si>
  <si>
    <t xml:space="preserve">Aprendizaje permanente. Competencias para una formación crítica: aprender a lo largo de la vida</t>
  </si>
  <si>
    <t xml:space="preserve">Manuel Martí Puig, Jesús Gil Gómez</t>
  </si>
  <si>
    <t xml:space="preserve">978-84-15103</t>
  </si>
  <si>
    <t xml:space="preserve">Diálogos</t>
  </si>
  <si>
    <t xml:space="preserve">Conflictos educativos y sociales ante la crisis actual: posibles vías de resolución</t>
  </si>
  <si>
    <t xml:space="preserve">Manuela Pablón Figueras</t>
  </si>
  <si>
    <t xml:space="preserve">El sueño que fue</t>
  </si>
  <si>
    <t xml:space="preserve">Sebas Parra Nuño, Orlando Pineda Flores</t>
  </si>
  <si>
    <t xml:space="preserve">978-84-943271-0-0</t>
  </si>
  <si>
    <t xml:space="preserve">La formació per al desenvolupament: formació-inserció professional territorializada</t>
  </si>
  <si>
    <t xml:space="preserve">Associació In Loco</t>
  </si>
  <si>
    <t xml:space="preserve">Colección Estudis</t>
  </si>
  <si>
    <t xml:space="preserve">84-607-3601-6</t>
  </si>
  <si>
    <t xml:space="preserve">FPA, ciutadania i desenvolupament</t>
  </si>
  <si>
    <t xml:space="preserve">AA.VV.</t>
  </si>
  <si>
    <t xml:space="preserve">84-607-3600-8</t>
  </si>
  <si>
    <t xml:space="preserve">El dificil alliberament de les forces creadores</t>
  </si>
  <si>
    <t xml:space="preserve">Paul Bélanger, Paolo Federighi</t>
  </si>
  <si>
    <t xml:space="preserve">84-607-4809-X</t>
  </si>
  <si>
    <t xml:space="preserve">La naturalesa de la transformació</t>
  </si>
  <si>
    <t xml:space="preserve">Darlene E. Clover, Shirley Follen, Budd Hall</t>
  </si>
  <si>
    <t xml:space="preserve">84-932699-6-4</t>
  </si>
  <si>
    <t xml:space="preserve">Ètica, complexitat i formació de persones adultes en una societat planetària</t>
  </si>
  <si>
    <t xml:space="preserve">84-934152-2-7</t>
  </si>
  <si>
    <t xml:space="preserve">Globalització i Educació</t>
  </si>
  <si>
    <t xml:space="preserve">En la frontera. Raymond Williams i l'educació de persones adultes adultes</t>
  </si>
  <si>
    <t xml:space="preserve">4-933402-6-X</t>
  </si>
  <si>
    <t xml:space="preserve">Escola de relacions. Cultura i pràctica pedagògica</t>
  </si>
  <si>
    <t xml:space="preserve">Barbara Mapelli, Maria Giovanna Piano</t>
  </si>
  <si>
    <t xml:space="preserve">84-934152-3-5</t>
  </si>
  <si>
    <t xml:space="preserve">Sistematizació d'experiències: apropiar-se del futur</t>
  </si>
  <si>
    <t xml:space="preserve">84-934585-2-X</t>
  </si>
  <si>
    <t xml:space="preserve">L'or de l'empresa social. Comunicació i màrqueting social: els llocs del treball femení</t>
  </si>
  <si>
    <t xml:space="preserve">Mag (Societat Mutua per l'Autogestió)</t>
  </si>
  <si>
    <t xml:space="preserve">84-934585-6-2</t>
  </si>
  <si>
    <t xml:space="preserve">Empreses de dones</t>
  </si>
  <si>
    <t xml:space="preserve">Annamaria Fusco, Maria Giovanna Piano</t>
  </si>
  <si>
    <t xml:space="preserve">978-84-935267-4-0</t>
  </si>
  <si>
    <t xml:space="preserve">Educació de personas adultas viva. Freire en escocia</t>
  </si>
  <si>
    <t xml:space="preserve">Viure l'escola, viure la democràcia. Actualitat de la SAFA de Riotinto</t>
  </si>
  <si>
    <t xml:space="preserve">978-84-936246-1-3</t>
  </si>
  <si>
    <t xml:space="preserve">Desenvolupament comunitari i educació</t>
  </si>
  <si>
    <t xml:space="preserve">978-84-936913-5-6</t>
  </si>
  <si>
    <t xml:space="preserve">Educació permanent, polítiques de relació-mediació i ciutadania</t>
  </si>
  <si>
    <t xml:space="preserve">Antonia de Vita</t>
  </si>
  <si>
    <t xml:space="preserve">978-84-937284-6-5</t>
  </si>
  <si>
    <t xml:space="preserve">Pedagogia sense complexos</t>
  </si>
  <si>
    <t xml:space="preserve">978-84-937772-3-4</t>
  </si>
  <si>
    <t xml:space="preserve">La construcció col-lectiva de la ciutadania i l'educació</t>
  </si>
  <si>
    <t xml:space="preserve">978-84-15103-03-5</t>
  </si>
  <si>
    <t xml:space="preserve">Carta a una mestra. Contribució de Lorenzo Milani a la Ciutadania Crítica</t>
  </si>
  <si>
    <t xml:space="preserve">Carmel Borg, Mario Cardona, Sandro Caruana</t>
  </si>
  <si>
    <t xml:space="preserve">978-84-15103-12-7</t>
  </si>
  <si>
    <t xml:space="preserve">Gramsci i l’educació</t>
  </si>
  <si>
    <t xml:space="preserve">Carmel Borg, Joseph Buttigieg, Peter Mayo</t>
  </si>
  <si>
    <t xml:space="preserve">978-84-15103-22-6</t>
  </si>
  <si>
    <t xml:space="preserve">David i Goliat. La primavera de les economies diverses</t>
  </si>
  <si>
    <t xml:space="preserve">Lucia Bertell, Marco Deriu, Antonia de Vita, Giorgio Gosetti</t>
  </si>
  <si>
    <t xml:space="preserve">El aprendizaje a lo largo de la vida: Una propuesta de futuro</t>
  </si>
  <si>
    <t xml:space="preserve">Política, educació, poder i cultura, representació, interpretació i conflicte</t>
  </si>
  <si>
    <t xml:space="preserve">978-84-129962-0-3</t>
  </si>
  <si>
    <t xml:space="preserve">Ecopedagogia i ciutadania planetària</t>
  </si>
  <si>
    <t xml:space="preserve">Colección Omega</t>
  </si>
  <si>
    <t xml:space="preserve">84-607-1576-0</t>
  </si>
  <si>
    <t xml:space="preserve">Pedagogia: diàleg i conflicte</t>
  </si>
  <si>
    <t xml:space="preserve">Paulo Freire, Moacir Gadotti, Sergio Guimaraes</t>
  </si>
  <si>
    <t xml:space="preserve">84-607-3602-4</t>
  </si>
  <si>
    <t xml:space="preserve">Democràcia, educació i multiculturalisme</t>
  </si>
  <si>
    <t xml:space="preserve">Polítiques d'alliberament. Sendes de Freire</t>
  </si>
  <si>
    <t xml:space="preserve">Peter McLaren, Colin Lankshear</t>
  </si>
  <si>
    <t xml:space="preserve">84-932699-2-1</t>
  </si>
  <si>
    <t xml:space="preserve">Caminant fem el camí. Conversacions sobre educació i canvi social</t>
  </si>
  <si>
    <t xml:space="preserve">Paulo Freire, Myles Horton</t>
  </si>
  <si>
    <t xml:space="preserve">84-932699-9-9</t>
  </si>
  <si>
    <t xml:space="preserve">Paulo Freire i la formació de persones educadores</t>
  </si>
  <si>
    <t xml:space="preserve">Ana Maria Saul</t>
  </si>
  <si>
    <t xml:space="preserve">84-934585-0-3</t>
  </si>
  <si>
    <t xml:space="preserve">Empresa d'amor i de diners. Creació social i filosofia de la formació</t>
  </si>
  <si>
    <t xml:space="preserve">84-935267-1-1</t>
  </si>
  <si>
    <t xml:space="preserve">Ser professor: ¿un ofici en risc d'extinció?</t>
  </si>
  <si>
    <t xml:space="preserve">Luiza Cortesão</t>
  </si>
  <si>
    <t xml:space="preserve">978-84-935267-6-4</t>
  </si>
  <si>
    <t xml:space="preserve">Les noves alfabetitzacions: el coneixement canviant i l'aprenentatge a l'aula</t>
  </si>
  <si>
    <t xml:space="preserve">Francisco Gutiérrez Pérez, Cruz Prado, Colin Lankshear, Michele Knobel</t>
  </si>
  <si>
    <t xml:space="preserve">978-84-935517-3-5</t>
  </si>
  <si>
    <t xml:space="preserve">En el curs de la vida. Educació, formació, biograficitat i gènere</t>
  </si>
  <si>
    <t xml:space="preserve">Peter Alheit, Bettina Dausien</t>
  </si>
  <si>
    <t xml:space="preserve">978-84-935517-1-1</t>
  </si>
  <si>
    <t xml:space="preserve">La cruilla de l'ètica</t>
  </si>
  <si>
    <t xml:space="preserve">978-84-936246-9-9</t>
  </si>
  <si>
    <t xml:space="preserve">Figures i passatges de la complexitat en l'educació</t>
  </si>
  <si>
    <t xml:space="preserve">Leonardo Boff, Martha Gloria Cárdenas Yucra, Col·lectiu Situaciones, Alejandro Cussiánovich Villarán, Virginia Ferrer, Francisco Gutiérrez Pérez, Cruz Prado, Humberto Maturana R., Ximena Dávila Y., Maria Cândida Moraes, Anna Maria Piussi, Pilar Ubilla, Juan Miguel Batalloso Navas, Pep Aparicio Guadas</t>
  </si>
  <si>
    <t xml:space="preserve">978-84-93613-2-5</t>
  </si>
  <si>
    <t xml:space="preserve">Michel Foucault. Materialisme i educació</t>
  </si>
  <si>
    <t xml:space="preserve">Mark Olssen</t>
  </si>
  <si>
    <t xml:space="preserve">978-84-936913-7-0</t>
  </si>
  <si>
    <t xml:space="preserve">La ciutadania com a creació política i educativa. Educant per a una ciutadania mundial</t>
  </si>
  <si>
    <t xml:space="preserve">978-84-937284-1-0</t>
  </si>
  <si>
    <t xml:space="preserve">El valor de la paraula. Alfabetitzacions, alliberaments i ciutadanies planetàries</t>
  </si>
  <si>
    <t xml:space="preserve">978-84-937772-5-8</t>
  </si>
  <si>
    <t xml:space="preserve">L'educació com a praxi política</t>
  </si>
  <si>
    <t xml:space="preserve">978-84-15103-08-0</t>
  </si>
  <si>
    <t xml:space="preserve">El fil de la vocació. Educar-se educar encara</t>
  </si>
  <si>
    <t xml:space="preserve">Pep Aparicio Guadas</t>
  </si>
  <si>
    <t xml:space="preserve">978-84-15103-24-0</t>
  </si>
  <si>
    <t xml:space="preserve">Estratègies europees d’aprenentatge al llarg de la vida</t>
  </si>
  <si>
    <t xml:space="preserve">Paula Guimarães, Licínio C. Lima</t>
  </si>
  <si>
    <t xml:space="preserve">978-84-15103-25-7</t>
  </si>
  <si>
    <t xml:space="preserve">Paisatges i patrimoni cultural/paisajes y patrimonio cultural</t>
  </si>
  <si>
    <t xml:space="preserve">978-84-15103-29-5</t>
  </si>
  <si>
    <t xml:space="preserve">El pensament de l’experiència</t>
  </si>
  <si>
    <t xml:space="preserve">978-84-15103-33-2</t>
  </si>
  <si>
    <t xml:space="preserve">Los grupos de trabajo y la innovación didáctica</t>
  </si>
  <si>
    <t xml:space="preserve">Xosé Manuel Souto González, Robert Cerdá</t>
  </si>
  <si>
    <t xml:space="preserve">Eines d’innovació educativa</t>
  </si>
  <si>
    <t xml:space="preserve">84-88689-96-9</t>
  </si>
  <si>
    <t xml:space="preserve">Los retos de la enseñanza de Geografía e Historia del siglo XXI</t>
  </si>
  <si>
    <t xml:space="preserve">84-88689-97-7</t>
  </si>
  <si>
    <t xml:space="preserve">Ús de llenguatges no discriminatoris</t>
  </si>
  <si>
    <t xml:space="preserve">Teresa Marí Tarazona</t>
  </si>
  <si>
    <t xml:space="preserve">84-930866-3-0</t>
  </si>
  <si>
    <t xml:space="preserve">Educación especial e integración: valoración y perspectivas</t>
  </si>
  <si>
    <t xml:space="preserve">Javier Herraiz Herraiz</t>
  </si>
  <si>
    <t xml:space="preserve">84-930866-4-9</t>
  </si>
  <si>
    <t xml:space="preserve">El currículum de la FPA com una pràctica de relació social i cultural</t>
  </si>
  <si>
    <t xml:space="preserve">Pep Aparicio Guadas, Dolors Monferrer Ferrando</t>
  </si>
  <si>
    <t xml:space="preserve">84-930866-5-7</t>
  </si>
  <si>
    <t xml:space="preserve">La didàctica de la geografia i la història en un món globalitzat i divers</t>
  </si>
  <si>
    <t xml:space="preserve">Proyecto Gea-Clío, Xosé Manuel Souto González</t>
  </si>
  <si>
    <t xml:space="preserve">84-930866-7-3</t>
  </si>
  <si>
    <t xml:space="preserve">Los conflictos en las aulas de ESO. Un estudio sobre la situación en la Comunidad Valenciana</t>
  </si>
  <si>
    <t xml:space="preserve">Rafaela García López, Ramón Martínez Céspedes</t>
  </si>
  <si>
    <t xml:space="preserve">84-930866-8-1</t>
  </si>
  <si>
    <t xml:space="preserve">Simiente de primavera. Protagonismo de la niñez y juventud</t>
  </si>
  <si>
    <t xml:space="preserve">L'ensenyament de la història i de la geografia en temps dificils</t>
  </si>
  <si>
    <t xml:space="preserve">Josep Durbán</t>
  </si>
  <si>
    <t xml:space="preserve">84-95715-04-X</t>
  </si>
  <si>
    <t xml:space="preserve">Itinerarios educativos y actividades escolares</t>
  </si>
  <si>
    <t xml:space="preserve">Xosé Manuel Souto González</t>
  </si>
  <si>
    <t xml:space="preserve">978-84-95715-11-1</t>
  </si>
  <si>
    <t xml:space="preserve">La participación democrática en los centros escolares</t>
  </si>
  <si>
    <t xml:space="preserve">Foro de la Tardor, Marco Chelet</t>
  </si>
  <si>
    <t xml:space="preserve">978-84-95715-12-8</t>
  </si>
  <si>
    <t xml:space="preserve">L'hospital "Sueco-noruego" d'Alcoi durant la guerra civil espanyola: un exemple de solidaritat</t>
  </si>
  <si>
    <t xml:space="preserve">Gemma Ballester, Àngel Beneito Lloris</t>
  </si>
  <si>
    <t xml:space="preserve">978-84-95715-14-2</t>
  </si>
  <si>
    <t xml:space="preserve">L'ensenyament de la història i l'us de la(es) memòria(es)</t>
  </si>
  <si>
    <t xml:space="preserve">Dolores Sánchez Durá, José Durbán Aparisi, Àngel Beneito Lloris, Francesc X. Blay Meseguer, José M. Azkárraga, Lucila Aragó</t>
  </si>
  <si>
    <t xml:space="preserve">Trabajo y mundialización</t>
  </si>
  <si>
    <t xml:space="preserve">Ettore Gelpi</t>
  </si>
  <si>
    <t xml:space="preserve">Laboratori Ettore Gelpi</t>
  </si>
  <si>
    <t xml:space="preserve">84-933402-0-0</t>
  </si>
  <si>
    <t xml:space="preserve">Utopía de lo cotidiano…</t>
  </si>
  <si>
    <t xml:space="preserve">Brunella Eruli, Anna Maria Piussi, Joan Sifre</t>
  </si>
  <si>
    <t xml:space="preserve">Trabajo futuro</t>
  </si>
  <si>
    <t xml:space="preserve">84-933402-7-8</t>
  </si>
  <si>
    <t xml:space="preserve">Trabajo futuro…</t>
  </si>
  <si>
    <t xml:space="preserve">Educación permanente. La dialéctica entre opresión y liberación</t>
  </si>
  <si>
    <t xml:space="preserve">84-934152-7-8</t>
  </si>
  <si>
    <t xml:space="preserve">Treball futur, ciutadania y globalització</t>
  </si>
  <si>
    <t xml:space="preserve">Maria Giovanna Piano</t>
  </si>
  <si>
    <t xml:space="preserve">Conciencia planetaria</t>
  </si>
  <si>
    <t xml:space="preserve">978-84-935267-3-3</t>
  </si>
  <si>
    <t xml:space="preserve">Educació permanent: dialèctica entre opressió i alliberament</t>
  </si>
  <si>
    <t xml:space="preserve">Educación permanente y relaciones internacionales</t>
  </si>
  <si>
    <t xml:space="preserve">978-84-935517-7-3</t>
  </si>
  <si>
    <t xml:space="preserve">Conciencia planetaria. Investigación y formación</t>
  </si>
  <si>
    <t xml:space="preserve">El trabajo: utopía cotidiana</t>
  </si>
  <si>
    <t xml:space="preserve">978-84-936246-4-4</t>
  </si>
  <si>
    <t xml:space="preserve">Educació permanent, creació social i relacions internacionals</t>
  </si>
  <si>
    <t xml:space="preserve">Formación de personas adultas: inclusión y exclusión</t>
  </si>
  <si>
    <t xml:space="preserve">978-84-936913-9-4</t>
  </si>
  <si>
    <t xml:space="preserve">Formación y trabajo: utopía cotidiana</t>
  </si>
  <si>
    <t xml:space="preserve">El cuarto saber</t>
  </si>
  <si>
    <t xml:space="preserve">La determinación del mercado…</t>
  </si>
  <si>
    <t xml:space="preserve">Gelpi, Freire y el aprendizaje permanente</t>
  </si>
  <si>
    <t xml:space="preserve">Estrategias europeas de aprendizaje permanente, ciudadanía y perspectiva gelpiana</t>
  </si>
  <si>
    <t xml:space="preserve">Licínio C. Lima, Inés Massot, Ángel Marzo, Paqui Borox López, Pep Aparicio Guadas</t>
  </si>
  <si>
    <t xml:space="preserve">Guia per als cercles de conversa</t>
  </si>
  <si>
    <t xml:space="preserve">Mònica Molina</t>
  </si>
  <si>
    <t xml:space="preserve">Materials-Materiales</t>
  </si>
  <si>
    <t xml:space="preserve">978-84-935517-5-9</t>
  </si>
  <si>
    <t xml:space="preserve">Diagnosi i implementació de plans territorials d’educació permanent</t>
  </si>
  <si>
    <t xml:space="preserve">Guia per a les històries de vida. Fer i Pensar</t>
  </si>
  <si>
    <t xml:space="preserve">Educando en ciudadanía desde, por, para la participación</t>
  </si>
  <si>
    <t xml:space="preserve">Ana García Florindo</t>
  </si>
  <si>
    <t xml:space="preserve">978-84-935517-0-4</t>
  </si>
  <si>
    <t xml:space="preserve">Metodologies i didàctiques en la formació de persones adultes</t>
  </si>
  <si>
    <t xml:space="preserve">Plecs de notes</t>
  </si>
  <si>
    <t xml:space="preserve">84-605-8166-7</t>
  </si>
  <si>
    <t xml:space="preserve">Formació de persones adultes, sistematització d'experiències i ciutadania</t>
  </si>
  <si>
    <t xml:space="preserve">Pep Aparicio Guadas, Paqui Borox López</t>
  </si>
  <si>
    <t xml:space="preserve">84-95715-05-8</t>
  </si>
  <si>
    <t xml:space="preserve">La renovació pedagògica en la Formació de Persones Adultes: passat i pervenir</t>
  </si>
  <si>
    <t xml:space="preserve">84-95715-07-4</t>
  </si>
  <si>
    <t xml:space="preserve">Creuant les fronteres educatives. Novació pedagògica i transformació en la FPA</t>
  </si>
  <si>
    <t xml:space="preserve">978-84-95715-09-8</t>
  </si>
  <si>
    <t xml:space="preserve">Creuant les fronteres educatives. Lectura del món i lectura de la paraula en la formació de persones adultes</t>
  </si>
  <si>
    <t xml:space="preserve">Participar participando</t>
  </si>
  <si>
    <t xml:space="preserve">Daniel García Goncet, Emilio Lucio-Villegas Ramos</t>
  </si>
  <si>
    <t xml:space="preserve">Publicaciones de la Cátedra Paulo Freire</t>
  </si>
  <si>
    <t xml:space="preserve">978-84-936913-4-9</t>
  </si>
  <si>
    <t xml:space="preserve">El poder de educar y educarnos</t>
  </si>
  <si>
    <t xml:space="preserve">978-84-15103-07-3</t>
  </si>
  <si>
    <t xml:space="preserve">La naturaleza de la transformación</t>
  </si>
  <si>
    <t xml:space="preserve">978-84-15103-06-6</t>
  </si>
  <si>
    <t xml:space="preserve">La educación permanente y la crisis de época</t>
  </si>
  <si>
    <t xml:space="preserve">Marina Aparicio Barberán, Iolanda Corella Llopis, Pep Aparicio Guadas</t>
  </si>
  <si>
    <t xml:space="preserve">978-84-15103-13-4</t>
  </si>
  <si>
    <t xml:space="preserve">Estrategias europeas en el aprendizaje permanente</t>
  </si>
  <si>
    <t xml:space="preserve">Licínio C. Lima, Paula Guimarães</t>
  </si>
  <si>
    <t xml:space="preserve">Educación permanente, vida recibida y cambio de civilización</t>
  </si>
  <si>
    <t xml:space="preserve">978-84-15103-28-8</t>
  </si>
  <si>
    <t xml:space="preserve">Educación permanente y ciudadanía</t>
  </si>
  <si>
    <t xml:space="preserve">Nuevos contextos y prácticas en la educación permanente</t>
  </si>
  <si>
    <t xml:space="preserve">Marina Aparicio Barberán, Iolanda Corella Llopis</t>
  </si>
  <si>
    <t xml:space="preserve">Nezahualcóyotl - mito y póesis en la cultura náuatl</t>
  </si>
  <si>
    <t xml:space="preserve">Ana María Valle Vázquez</t>
  </si>
  <si>
    <t xml:space="preserve">Educación permanente: prácticas educativas de libertad y experiencias emancipadoras</t>
  </si>
  <si>
    <t xml:space="preserve">Educación permanente. Experiencias emancipadoras y prácticas educativas de libertad</t>
  </si>
  <si>
    <t xml:space="preserve">Iolanda Corella Llopis, Paqui Borox López</t>
  </si>
  <si>
    <t xml:space="preserve">978-84-941213-9-5</t>
  </si>
  <si>
    <t xml:space="preserve">Mujeres y hombres reinventando la actualidad de la educación permanente</t>
  </si>
  <si>
    <t xml:space="preserve">Iolanda Corella Llopis, Paqui Borox López, Pep Aparicio Guadas</t>
  </si>
  <si>
    <t xml:space="preserve">978-84-947145-0-4</t>
  </si>
  <si>
    <t xml:space="preserve">Nueva educación permanente: saber, emancipación y practicabilidad de la vida 1</t>
  </si>
  <si>
    <t xml:space="preserve">Nueva educación permanente 2</t>
  </si>
  <si>
    <t xml:space="preserve">La capacidad de transformar</t>
  </si>
  <si>
    <t xml:space="preserve">Actualización de la educación permanente</t>
  </si>
  <si>
    <t xml:space="preserve">Desde abajo • aprendizaje en los movimientos de las economías diferentes</t>
  </si>
  <si>
    <t xml:space="preserve">Quaderns d’educació contínua 1</t>
  </si>
  <si>
    <t xml:space="preserve">Quaderns d’educació contínua</t>
  </si>
  <si>
    <t xml:space="preserve">Quaderns d’educació contínua 2</t>
  </si>
  <si>
    <t xml:space="preserve">Quaderns d’educació contínua 3</t>
  </si>
  <si>
    <t xml:space="preserve">Quaderns d’educació contínua 4</t>
  </si>
  <si>
    <t xml:space="preserve">Quaderns d’educació contínua 5</t>
  </si>
  <si>
    <t xml:space="preserve">Quaderns d’educació contínua 6</t>
  </si>
  <si>
    <t xml:space="preserve">Quaderns d’educació contínua 7</t>
  </si>
  <si>
    <t xml:space="preserve">Quaderns d’educació contínua 8</t>
  </si>
  <si>
    <t xml:space="preserve">Quaderns d’educació contínua 9</t>
  </si>
  <si>
    <t xml:space="preserve">Quaderns d’educació contínua 10</t>
  </si>
  <si>
    <t xml:space="preserve">Quaderns d’educació contínua 11</t>
  </si>
  <si>
    <t xml:space="preserve">Quaderns d’educació contínua 12</t>
  </si>
  <si>
    <t xml:space="preserve">Quaderns d’educació contínua 13</t>
  </si>
  <si>
    <t xml:space="preserve">Quaderns d’educació contínua 14</t>
  </si>
  <si>
    <t xml:space="preserve">Quaderns d’educació contínua 15</t>
  </si>
  <si>
    <t xml:space="preserve">Quaderns d’educació contínua 16</t>
  </si>
  <si>
    <t xml:space="preserve">Quaderns d’educació contínua 17</t>
  </si>
  <si>
    <t xml:space="preserve">Quaderns d’educació contínua 18</t>
  </si>
  <si>
    <t xml:space="preserve">Quaderns d’educació contínua 19</t>
  </si>
  <si>
    <t xml:space="preserve">Quaderns d’educació contínua 20</t>
  </si>
  <si>
    <t xml:space="preserve">Quaderns d’educació contínua 21</t>
  </si>
  <si>
    <t xml:space="preserve">Quaderns d’educació contínua 22</t>
  </si>
  <si>
    <t xml:space="preserve">Quaderns d’educació contínua 23</t>
  </si>
  <si>
    <t xml:space="preserve">Quaderns d’educació contínua 24</t>
  </si>
  <si>
    <t xml:space="preserve">Quaderns d’educació contínua 25</t>
  </si>
  <si>
    <t xml:space="preserve">Quaderns d’educació contínua 26</t>
  </si>
  <si>
    <t xml:space="preserve">Quaderns d’educació contínua 27</t>
  </si>
  <si>
    <t xml:space="preserve">Quaderns d’educació contínua 28</t>
  </si>
  <si>
    <t xml:space="preserve">Quaderns d’educació contínua 29</t>
  </si>
  <si>
    <t xml:space="preserve">Quaderns d’educació contínua 30</t>
  </si>
  <si>
    <t xml:space="preserve">Quaderns d’educació contínua 31</t>
  </si>
  <si>
    <t xml:space="preserve">Quaderns d’educació contínua 32</t>
  </si>
  <si>
    <t xml:space="preserve">Quaderns d’educació contínua 33</t>
  </si>
  <si>
    <t xml:space="preserve">Quaderns d’educació contínua 34</t>
  </si>
  <si>
    <t xml:space="preserve">Quaderns d’educació contínua 35</t>
  </si>
  <si>
    <t xml:space="preserve">Quaderns d’educació contínua 36</t>
  </si>
  <si>
    <t xml:space="preserve">Quaderns d’educació contínua 37</t>
  </si>
  <si>
    <t xml:space="preserve">Quaderns d’educació contínua 38</t>
  </si>
  <si>
    <t xml:space="preserve">Quaderns d’educació contínua 39 y 40</t>
  </si>
  <si>
    <t xml:space="preserve">Quaderns d’educació contínua 41</t>
  </si>
  <si>
    <t xml:space="preserve">Quaderns d’educació contínua 42</t>
  </si>
  <si>
    <t xml:space="preserve">Quaderns d’educació contínua 43</t>
  </si>
  <si>
    <t xml:space="preserve">Quaderns d’educació contínua 44</t>
  </si>
  <si>
    <t xml:space="preserve">Quaderns d’educació contínua 45</t>
  </si>
  <si>
    <t xml:space="preserve">Quaderns d’educació contínua 46</t>
  </si>
  <si>
    <t xml:space="preserve">Quaderns d’educació contínua 47</t>
  </si>
  <si>
    <t xml:space="preserve">Quaderns d’educació contínua 48</t>
  </si>
  <si>
    <t xml:space="preserve">Quaderns d’educació contínua 49</t>
  </si>
  <si>
    <t xml:space="preserve">Quaderns d’educació contínua 50</t>
  </si>
  <si>
    <t xml:space="preserve">Quaderns d’educació contínua 51</t>
  </si>
  <si>
    <t xml:space="preserve">Quaderns d’educació contínua 52</t>
  </si>
  <si>
    <t xml:space="preserve">Quaderns d’educació contínua 53</t>
  </si>
  <si>
    <t xml:space="preserve">Quaderns d’educació contínua 54 y 55</t>
  </si>
  <si>
    <t xml:space="preserve">Quaderns d’educació contínua 56</t>
  </si>
  <si>
    <t xml:space="preserve">Europa, la democràcia i l'esquerra</t>
  </si>
  <si>
    <t xml:space="preserve">Quaderns d’educació popular</t>
  </si>
  <si>
    <t xml:space="preserve">L'objecte i el territori de la formació de persones adultes</t>
  </si>
  <si>
    <t xml:space="preserve">84-605-3806-0</t>
  </si>
  <si>
    <t xml:space="preserve">Les associacions de persones adultes: dispositius de construcció de ciutadania crítica</t>
  </si>
  <si>
    <t xml:space="preserve">84-8498-034-0</t>
  </si>
  <si>
    <t xml:space="preserve">Ací i ara: la dona, les dones</t>
  </si>
  <si>
    <t xml:space="preserve">84-605-6419-9</t>
  </si>
  <si>
    <t xml:space="preserve">Canviant nosaltres, canviant la formació de persones adultes</t>
  </si>
  <si>
    <t xml:space="preserve">84-930866-1-4</t>
  </si>
  <si>
    <t xml:space="preserve">Les dones canviem els temps</t>
  </si>
  <si>
    <t xml:space="preserve">84-930866-2-2</t>
  </si>
  <si>
    <t xml:space="preserve">Ser valencians i valencianes hui: país, comunitat…</t>
  </si>
  <si>
    <t xml:space="preserve">Pep Aparicio Guadas, Miquel Boronat</t>
  </si>
  <si>
    <t xml:space="preserve">84-930866-6-5</t>
  </si>
  <si>
    <t xml:space="preserve">El camí d'invenció de la ciutadania i l'educació popular</t>
  </si>
  <si>
    <t xml:space="preserve">84-930866-9-X</t>
  </si>
  <si>
    <t xml:space="preserve">L'associacionisme i la participació de les persones adultes en el nou entorn cultural i social de la FPA</t>
  </si>
  <si>
    <t xml:space="preserve">Dinamització d'associacions, participació i ciutadania activa</t>
  </si>
  <si>
    <t xml:space="preserve">Isabel Aparicio Guadas</t>
  </si>
  <si>
    <t xml:space="preserve">84-95715-06-6</t>
  </si>
  <si>
    <t xml:space="preserve">Repensant i refent la formació de persones adultes</t>
  </si>
  <si>
    <t xml:space="preserve">Isabel Aparicio Guadas, Paqui Borox López, Miquel Bononat Escrihuela, Tere Vila Ferrer, Pep Aparicio Guadas</t>
  </si>
  <si>
    <t xml:space="preserve">Ciutadania i educació popular</t>
  </si>
  <si>
    <t xml:space="preserve">Paqui Borox López, Pep Aparicio Guadas</t>
  </si>
  <si>
    <t xml:space="preserve">978-84-95715-13-5</t>
  </si>
  <si>
    <t xml:space="preserve">Moviment entre la resistència i el compromís: 30 anys d'educació popular a Xàtiva</t>
  </si>
  <si>
    <t xml:space="preserve">978-84-95715-15-9</t>
  </si>
  <si>
    <t xml:space="preserve">Educacio popular, ciutadania i emancipació: un moviment perenne</t>
  </si>
  <si>
    <t xml:space="preserve">Escriure, pensar i transformar (què és una ciutat saludable?)</t>
  </si>
  <si>
    <t xml:space="preserve">La praxis educativa y la acción cultural liberadora de Paulo Freire</t>
  </si>
  <si>
    <t xml:space="preserve">Sendas y travesías del pensamiento</t>
  </si>
  <si>
    <t xml:space="preserve">84-934152-9-4</t>
  </si>
  <si>
    <t xml:space="preserve">Dos mil una mujeres que cambian italia</t>
  </si>
  <si>
    <t xml:space="preserve">Annarosa Buttarelli, Luisa Muraro, Liliana Rampello</t>
  </si>
  <si>
    <t xml:space="preserve">84-934152-8-6</t>
  </si>
  <si>
    <t xml:space="preserve">Lectura crítica de Paulo Freire</t>
  </si>
  <si>
    <t xml:space="preserve">84-934585-3-8</t>
  </si>
  <si>
    <t xml:space="preserve">Formar y formarse en la creación social</t>
  </si>
  <si>
    <t xml:space="preserve">84-934585-4-6</t>
  </si>
  <si>
    <t xml:space="preserve">Sendas de Freire…</t>
  </si>
  <si>
    <t xml:space="preserve">Dolors Monferrer Ferrando</t>
  </si>
  <si>
    <t xml:space="preserve">84-934585-8-4</t>
  </si>
  <si>
    <t xml:space="preserve">Política de liberación…</t>
  </si>
  <si>
    <t xml:space="preserve">978-84-935267-8-8</t>
  </si>
  <si>
    <t xml:space="preserve">Teorías crítica y condición humana</t>
  </si>
  <si>
    <t xml:space="preserve">978-84-935267-2-6</t>
  </si>
  <si>
    <t xml:space="preserve">Paulo Freire en el tiempo presente</t>
  </si>
  <si>
    <t xml:space="preserve">978-84-935517-6-6</t>
  </si>
  <si>
    <t xml:space="preserve">En el curso de la vida</t>
  </si>
  <si>
    <t xml:space="preserve">978-84-935517-2-8</t>
  </si>
  <si>
    <t xml:space="preserve">Educación y democracia</t>
  </si>
  <si>
    <t xml:space="preserve">978-84-935267-9-5</t>
  </si>
  <si>
    <t xml:space="preserve">Gramsci, Freire i la FPA</t>
  </si>
  <si>
    <t xml:space="preserve">978-84-936246-0-6</t>
  </si>
  <si>
    <t xml:space="preserve">Empresas de amor y de dinero</t>
  </si>
  <si>
    <t xml:space="preserve">978-84-936246-2-0</t>
  </si>
  <si>
    <t xml:space="preserve">La encrucijada de la ética</t>
  </si>
  <si>
    <t xml:space="preserve">978-84-936246-3-7</t>
  </si>
  <si>
    <t xml:space="preserve">Educación permanente, globalización y movimientos sociales</t>
  </si>
  <si>
    <t xml:space="preserve">978-84-936913-0-1</t>
  </si>
  <si>
    <t xml:space="preserve">Figuras y paisajes de la complejidad en la educación</t>
  </si>
  <si>
    <t xml:space="preserve">Leonardo Boff</t>
  </si>
  <si>
    <t xml:space="preserve">978-84-936913-1-8</t>
  </si>
  <si>
    <t xml:space="preserve">La lectura, y la escritura, del mundo de Paulo Freire</t>
  </si>
  <si>
    <t xml:space="preserve">978-84-937284-7-2</t>
  </si>
  <si>
    <t xml:space="preserve">Paulo Freire y la formación de personas educadoras</t>
  </si>
  <si>
    <t xml:space="preserve">978-84-936913-3-2</t>
  </si>
  <si>
    <t xml:space="preserve">La ciudadanía como creación política y educativa</t>
  </si>
  <si>
    <t xml:space="preserve">978-84-936913-6-3</t>
  </si>
  <si>
    <t xml:space="preserve">Ética de la liberación</t>
  </si>
  <si>
    <t xml:space="preserve">978-84-937284-4-1</t>
  </si>
  <si>
    <t xml:space="preserve">Educación permanente, políticas de relación-mediación y ciudadanía</t>
  </si>
  <si>
    <t xml:space="preserve">Antonia de Vita, Rosa María Torres, Emilio Lucio-Villegas Ramos, Peter Mayo, Pep Aparicio Guadas</t>
  </si>
  <si>
    <t xml:space="preserve">978-84-937284-8-9</t>
  </si>
  <si>
    <t xml:space="preserve">Por una pedagogía de la pregunta</t>
  </si>
  <si>
    <t xml:space="preserve">Paulo Freire, Antonio Faundez</t>
  </si>
  <si>
    <t xml:space="preserve">Reinventando Paulo Freire…</t>
  </si>
  <si>
    <t xml:space="preserve">El valor de la palabra</t>
  </si>
  <si>
    <t xml:space="preserve">978-84-937772-2-7</t>
  </si>
  <si>
    <t xml:space="preserve">Foucault y el aprendizaje permanente</t>
  </si>
  <si>
    <t xml:space="preserve">978-84-937772-4-1</t>
  </si>
  <si>
    <t xml:space="preserve">La construcción colectiva de la ciudadanía y la educación</t>
  </si>
  <si>
    <t xml:space="preserve">978-84-15103-04-2</t>
  </si>
  <si>
    <t xml:space="preserve">Educación a lo largo de la vida</t>
  </si>
  <si>
    <t xml:space="preserve">978-84-15103-15-8</t>
  </si>
  <si>
    <t xml:space="preserve">Carta a una maestra</t>
  </si>
  <si>
    <t xml:space="preserve">Conversar de conversar</t>
  </si>
  <si>
    <t xml:space="preserve">Capitalistas y conquistadores…</t>
  </si>
  <si>
    <t xml:space="preserve">978-84-15103-20-2</t>
  </si>
  <si>
    <t xml:space="preserve">Gramsci y la educación</t>
  </si>
  <si>
    <t xml:space="preserve">978-84-15103-21-9</t>
  </si>
  <si>
    <t xml:space="preserve">El hilo de la vocación</t>
  </si>
  <si>
    <t xml:space="preserve">978-84-15103-23-3</t>
  </si>
  <si>
    <t xml:space="preserve">Miedo y osadía</t>
  </si>
  <si>
    <t xml:space="preserve">978-84-15103-32-5</t>
  </si>
  <si>
    <t xml:space="preserve">Aprendiendo con personas adultas</t>
  </si>
  <si>
    <t xml:space="preserve">978-84-15103-31-8</t>
  </si>
  <si>
    <t xml:space="preserve">David y Goliat. La primavera de las economías diversas</t>
  </si>
  <si>
    <t xml:space="preserve">El pensamiento de la experiencia</t>
  </si>
  <si>
    <t xml:space="preserve">Annarosa Buttarelli, Federica Giardini</t>
  </si>
  <si>
    <t xml:space="preserve">Práctica de la práctica</t>
  </si>
  <si>
    <t xml:space="preserve">Biograficidad. Aspectos de una nueva teoría del aprendizaje social</t>
  </si>
  <si>
    <t xml:space="preserve">Política, educación, poder y cultura representación, interpretación y conflicto</t>
  </si>
  <si>
    <t xml:space="preserve">Perspectivas contemporáneas de educación rural. Aportaciones desde la Red Educorural</t>
  </si>
  <si>
    <t xml:space="preserve">Red Educorural</t>
  </si>
  <si>
    <t xml:space="preserve">978-84-129962-1-0</t>
  </si>
</sst>
</file>

<file path=xl/styles.xml><?xml version="1.0" encoding="utf-8"?>
<styleSheet xmlns="http://schemas.openxmlformats.org/spreadsheetml/2006/main">
  <numFmts count="1">
    <numFmt numFmtId="164" formatCode="#,##0.00\ &quot;€&quot;"/>
  </numFmts>
  <fonts count="3">
    <font>
      <sz val="11"/>
      <color rgb="FF1F2933"/>
      <name val="Calibri"/>
      <family val="2"/>
    </font>
    <font>
      <b/>
      <sz val="11"/>
      <color rgb="FFFFFFFF"/>
      <name val="Calibri"/>
      <family val="2"/>
    </font>
    <font>
      <u/>
      <sz val="11"/>
      <color rgb="FF1F5F8B"/>
      <name val="Calibri"/>
      <family val="2"/>
    </font>
  </fonts>
  <fills count="4">
    <fill>
      <patternFill patternType="none"/>
    </fill>
    <fill>
      <patternFill patternType="gray125"/>
    </fill>
    <fill>
      <patternFill patternType="solid">
        <fgColor rgb="FF1F5F8B"/>
        <bgColor indexed="64"/>
      </patternFill>
    </fill>
    <fill>
      <patternFill patternType="solid">
        <fgColor rgb="FFEEF5FA"/>
        <bgColor indexed="64"/>
      </patternFill>
    </fill>
  </fills>
  <borders count="2">
    <border>
      <left/>
      <right/>
      <top/>
      <bottom/>
      <diagonal/>
    </border>
    <border>
      <left/>
      <right/>
      <top/>
      <bottom style="thin">
        <color rgb="FFD3E0E9"/>
      </bottom>
      <diagonal/>
    </border>
  </borders>
  <cellStyleXfs count="1">
    <xf numFmtId="0" fontId="0" fillId="0" borderId="0"/>
  </cellStyleXfs>
  <cellXfs count="16">
    <xf numFmtId="0" fontId="0" fillId="0" borderId="0" xfId="0" applyNumberFormat="1" applyFont="1" applyFill="1" applyBorder="1" applyAlignment="1">
      <alignment vertical="center"/>
    </xf>
    <xf numFmtId="0" fontId="1" fillId="2" borderId="0" xfId="0" applyNumberFormat="1" applyFont="1" applyFill="1" applyBorder="1" applyAlignment="1">
      <alignment vertical="center"/>
    </xf>
    <xf numFmtId="0" fontId="1" fillId="2" borderId="0" xfId="0" applyNumberFormat="1" applyFont="1" applyFill="1" applyBorder="1" applyAlignment="1">
      <alignment vertical="center" horizontal="center"/>
    </xf>
    <xf numFmtId="0" fontId="1" fillId="2" borderId="0" xfId="0" applyNumberFormat="1" applyFont="1" applyFill="1" applyBorder="1" applyAlignment="1">
      <alignment vertical="center" horizontal="right"/>
    </xf>
    <xf numFmtId="0" fontId="0" fillId="0" borderId="1" xfId="0" applyNumberFormat="1" applyFont="1" applyFill="1" applyBorder="1" applyAlignment="1">
      <alignment vertical="center" wrapText="1"/>
    </xf>
    <xf numFmtId="0" fontId="0" fillId="0" borderId="1" xfId="0" applyNumberFormat="1" applyFont="1" applyFill="1" applyBorder="1" applyAlignment="1">
      <alignment vertical="center"/>
    </xf>
    <xf numFmtId="0" fontId="0" fillId="0" borderId="1" xfId="0" applyNumberFormat="1" applyFont="1" applyFill="1" applyBorder="1" applyAlignment="1">
      <alignment vertical="center" horizontal="center"/>
    </xf>
    <xf numFmtId="0" fontId="0" fillId="0" borderId="1" xfId="0" applyNumberFormat="1" applyFont="1" applyFill="1" applyBorder="1" applyAlignment="1">
      <alignment vertical="center" horizontal="right"/>
    </xf>
    <xf numFmtId="164" fontId="0" fillId="0" borderId="1" xfId="0" applyNumberFormat="1" applyFont="1" applyFill="1" applyBorder="1" applyAlignment="1">
      <alignment vertical="center" horizontal="right"/>
    </xf>
    <xf numFmtId="0" fontId="2" fillId="0" borderId="1" xfId="0" applyNumberFormat="1" applyFont="1" applyFill="1" applyBorder="1" applyAlignment="1">
      <alignment vertical="center"/>
    </xf>
    <xf numFmtId="0" fontId="0" fillId="3" borderId="1" xfId="0" applyNumberFormat="1" applyFont="1" applyFill="1" applyBorder="1" applyAlignment="1">
      <alignment vertical="center" wrapText="1"/>
    </xf>
    <xf numFmtId="0" fontId="0" fillId="3" borderId="1" xfId="0" applyNumberFormat="1" applyFont="1" applyFill="1" applyBorder="1" applyAlignment="1">
      <alignment vertical="center"/>
    </xf>
    <xf numFmtId="0" fontId="0" fillId="3" borderId="1" xfId="0" applyNumberFormat="1" applyFont="1" applyFill="1" applyBorder="1" applyAlignment="1">
      <alignment vertical="center" horizontal="center"/>
    </xf>
    <xf numFmtId="0" fontId="0" fillId="3" borderId="1" xfId="0" applyNumberFormat="1" applyFont="1" applyFill="1" applyBorder="1" applyAlignment="1">
      <alignment vertical="center" horizontal="right"/>
    </xf>
    <xf numFmtId="164" fontId="0" fillId="3" borderId="1" xfId="0" applyNumberFormat="1" applyFont="1" applyFill="1" applyBorder="1" applyAlignment="1">
      <alignment vertical="center" horizontal="right"/>
    </xf>
    <xf numFmtId="0" fontId="2" fillId="3" borderId="1" xfId="0" applyNumberFormat="1" applyFont="1" applyFill="1" applyBorder="1" applyAlignment="1">
      <alignment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sheetPr>
    <tabColor rgb="FF478FB8"/>
    <pageSetUpPr fitToPage="1"/>
  </sheetPr>
  <dimension ref="A1:J306"/>
  <sheetViews>
    <sheetView showGridLines="0" tabSelected="1" workbookViewId="0">
      <pane ySplit="1" topLeftCell="A2" activePane="bottomLeft" state="frozen"/>
      <selection pane="bottomLeft" activeCell="A2" sqref="A2"/>
    </sheetView>
  </sheetViews>
  <sheetFormatPr defaultRowHeight="21" customHeight="1"/>
  <cols>
    <col min="1" max="1" width="48" customWidth="1"/>
    <col min="2" max="2" width="36" customWidth="1"/>
    <col min="3" max="3" width="36" customWidth="1"/>
    <col min="4" max="4" width="11" customWidth="1"/>
    <col min="5" max="5" width="7" customWidth="1"/>
    <col min="6" max="6" width="9" customWidth="1"/>
    <col min="7" max="7" width="13" customWidth="1"/>
    <col min="8" max="8" width="20" customWidth="1"/>
    <col min="9" max="9" width="12" customWidth="1"/>
    <col min="10" max="10" width="13" customWidth="1"/>
  </cols>
  <sheetData>
    <row r="1" ht="26" customHeight="1">
      <c r="A1" s="1" t="s">
        <v>0</v>
      </c>
      <c r="B1" s="1" t="s">
        <v>1</v>
      </c>
      <c r="C1" s="1" t="s">
        <v>2</v>
      </c>
      <c r="D1" s="2" t="s">
        <v>3</v>
      </c>
      <c r="E1" s="2" t="s">
        <v>4</v>
      </c>
      <c r="F1" s="3" t="s">
        <v>5</v>
      </c>
      <c r="G1" s="3" t="s">
        <v>6</v>
      </c>
      <c r="H1" s="2" t="s">
        <v>7</v>
      </c>
      <c r="I1" s="1" t="s">
        <v>8</v>
      </c>
      <c r="J1" s="1" t="s">
        <v>9</v>
      </c>
    </row>
    <row r="2" ht="21" customHeight="1">
      <c r="A2" s="4" t="s">
        <v>10</v>
      </c>
      <c r="B2" s="4" t="s">
        <v>11</v>
      </c>
      <c r="C2" s="5" t="s">
        <v>12</v>
      </c>
      <c r="D2" s="6" t="s">
        <v>13</v>
      </c>
      <c r="E2" s="6">
        <v>2001</v>
      </c>
      <c r="F2" s="7">
        <v>304</v>
      </c>
      <c r="G2" s="8">
        <v>13.52</v>
      </c>
      <c r="H2" s="6" t="s">
        <v>14</v>
      </c>
      <c r="I2" s="9" t="str">
        <f>HYPERLINK("https://www.tienda-institutpaulofreire.com/aprendizajes01.html","Ver ficha")</f>
        <v>Ver ficha</v>
      </c>
      <c r="J2" s="9" t="str">
        <f>HYPERLINK("https://www.tienda-institutpaulofreire.com/images/aprendizajes/01.png","Ver portada")</f>
        <v>Ver portada</v>
      </c>
    </row>
    <row r="3" ht="21" customHeight="1">
      <c r="A3" s="10" t="s">
        <v>15</v>
      </c>
      <c r="B3" s="10" t="s">
        <v>16</v>
      </c>
      <c r="C3" s="11" t="s">
        <v>12</v>
      </c>
      <c r="D3" s="12" t="s">
        <v>13</v>
      </c>
      <c r="E3" s="12">
        <v>2001</v>
      </c>
      <c r="F3" s="13">
        <v>139</v>
      </c>
      <c r="G3" s="14">
        <v>13.52</v>
      </c>
      <c r="H3" s="12" t="s">
        <v>17</v>
      </c>
      <c r="I3" s="15" t="str">
        <f>HYPERLINK("https://www.tienda-institutpaulofreire.com/aprendizajes02.html","Ver ficha")</f>
        <v>Ver ficha</v>
      </c>
      <c r="J3" s="15" t="str">
        <f>HYPERLINK("https://www.tienda-institutpaulofreire.com/images/aprendizajes/02.png","Ver portada")</f>
        <v>Ver portada</v>
      </c>
    </row>
    <row r="4" ht="21" customHeight="1">
      <c r="A4" s="4" t="s">
        <v>18</v>
      </c>
      <c r="B4" s="4" t="s">
        <v>19</v>
      </c>
      <c r="C4" s="5" t="s">
        <v>12</v>
      </c>
      <c r="D4" s="6" t="s">
        <v>13</v>
      </c>
      <c r="E4" s="6">
        <v>2002</v>
      </c>
      <c r="F4" s="7">
        <v>183</v>
      </c>
      <c r="G4" s="8">
        <v>13.52</v>
      </c>
      <c r="H4" s="6" t="s">
        <v>20</v>
      </c>
      <c r="I4" s="9" t="str">
        <f>HYPERLINK("https://www.tienda-institutpaulofreire.com/aprendizajes03.html","Ver ficha")</f>
        <v>Ver ficha</v>
      </c>
      <c r="J4" s="9" t="str">
        <f>HYPERLINK("https://www.tienda-institutpaulofreire.com/images/aprendizajes/03.png","Ver portada")</f>
        <v>Ver portada</v>
      </c>
    </row>
    <row r="5" ht="36" customHeight="1">
      <c r="A5" s="10" t="s">
        <v>21</v>
      </c>
      <c r="B5" s="10" t="s">
        <v>22</v>
      </c>
      <c r="C5" s="11" t="s">
        <v>12</v>
      </c>
      <c r="D5" s="12" t="s">
        <v>13</v>
      </c>
      <c r="E5" s="12">
        <v>2002</v>
      </c>
      <c r="F5" s="13">
        <v>172</v>
      </c>
      <c r="G5" s="14">
        <v>13.52</v>
      </c>
      <c r="H5" s="12" t="s">
        <v>23</v>
      </c>
      <c r="I5" s="15" t="str">
        <f>HYPERLINK("https://www.tienda-institutpaulofreire.com/aprendizajes04.html","Ver ficha")</f>
        <v>Ver ficha</v>
      </c>
      <c r="J5" s="15" t="str">
        <f>HYPERLINK("https://www.tienda-institutpaulofreire.com/images/aprendizajes/04.png","Ver portada")</f>
        <v>Ver portada</v>
      </c>
    </row>
    <row r="6" ht="21" customHeight="1">
      <c r="A6" s="4" t="s">
        <v>24</v>
      </c>
      <c r="B6" s="4" t="s">
        <v>25</v>
      </c>
      <c r="C6" s="5" t="s">
        <v>12</v>
      </c>
      <c r="D6" s="6" t="s">
        <v>13</v>
      </c>
      <c r="E6" s="6">
        <v>2003</v>
      </c>
      <c r="F6" s="7">
        <v>232</v>
      </c>
      <c r="G6" s="8">
        <v>13.52</v>
      </c>
      <c r="H6" s="6" t="s">
        <v>26</v>
      </c>
      <c r="I6" s="9" t="str">
        <f>HYPERLINK("https://www.tienda-institutpaulofreire.com/aprendizajes05.html","Ver ficha")</f>
        <v>Ver ficha</v>
      </c>
      <c r="J6" s="9" t="str">
        <f>HYPERLINK("https://www.tienda-institutpaulofreire.com/images/aprendizajes/05.png","Ver portada")</f>
        <v>Ver portada</v>
      </c>
    </row>
    <row r="7" ht="21" customHeight="1">
      <c r="A7" s="10" t="s">
        <v>27</v>
      </c>
      <c r="B7" s="10" t="s">
        <v>28</v>
      </c>
      <c r="C7" s="11" t="s">
        <v>12</v>
      </c>
      <c r="D7" s="12" t="s">
        <v>13</v>
      </c>
      <c r="E7" s="12"/>
      <c r="F7" s="13">
        <v>131</v>
      </c>
      <c r="G7" s="14">
        <v>13.52</v>
      </c>
      <c r="H7" s="12" t="s">
        <v>29</v>
      </c>
      <c r="I7" s="15" t="str">
        <f>HYPERLINK("https://www.tienda-institutpaulofreire.com/aprendizajes06.html","Ver ficha")</f>
        <v>Ver ficha</v>
      </c>
      <c r="J7" s="15" t="str">
        <f>HYPERLINK("https://www.tienda-institutpaulofreire.com/images/aprendizajes/06.png","Ver portada")</f>
        <v>Ver portada</v>
      </c>
    </row>
    <row r="8" ht="21" customHeight="1">
      <c r="A8" s="4" t="s">
        <v>30</v>
      </c>
      <c r="B8" s="4" t="s">
        <v>31</v>
      </c>
      <c r="C8" s="5" t="s">
        <v>12</v>
      </c>
      <c r="D8" s="6" t="s">
        <v>13</v>
      </c>
      <c r="E8" s="6">
        <v>2004</v>
      </c>
      <c r="F8" s="7">
        <v>314</v>
      </c>
      <c r="G8" s="8">
        <v>13.52</v>
      </c>
      <c r="H8" s="6" t="s">
        <v>32</v>
      </c>
      <c r="I8" s="9" t="str">
        <f>HYPERLINK("https://www.tienda-institutpaulofreire.com/aprendizajes07.html","Ver ficha")</f>
        <v>Ver ficha</v>
      </c>
      <c r="J8" s="9" t="str">
        <f>HYPERLINK("https://www.tienda-institutpaulofreire.com/images/aprendizajes/07.png","Ver portada")</f>
        <v>Ver portada</v>
      </c>
    </row>
    <row r="9" ht="36" customHeight="1">
      <c r="A9" s="10" t="s">
        <v>33</v>
      </c>
      <c r="B9" s="10" t="s">
        <v>34</v>
      </c>
      <c r="C9" s="11" t="s">
        <v>12</v>
      </c>
      <c r="D9" s="12" t="s">
        <v>13</v>
      </c>
      <c r="E9" s="12">
        <v>2004</v>
      </c>
      <c r="F9" s="13">
        <v>228</v>
      </c>
      <c r="G9" s="14">
        <v>13.52</v>
      </c>
      <c r="H9" s="12" t="s">
        <v>35</v>
      </c>
      <c r="I9" s="15" t="str">
        <f>HYPERLINK("https://www.tienda-institutpaulofreire.com/aprendizajes08.html","Ver ficha")</f>
        <v>Ver ficha</v>
      </c>
      <c r="J9" s="15" t="str">
        <f>HYPERLINK("https://www.tienda-institutpaulofreire.com/images/aprendizajes/08.png","Ver portada")</f>
        <v>Ver portada</v>
      </c>
    </row>
    <row r="10" ht="21" customHeight="1">
      <c r="A10" s="4" t="s">
        <v>36</v>
      </c>
      <c r="B10" s="4" t="s">
        <v>37</v>
      </c>
      <c r="C10" s="5" t="s">
        <v>12</v>
      </c>
      <c r="D10" s="6" t="s">
        <v>13</v>
      </c>
      <c r="E10" s="6">
        <v>2005</v>
      </c>
      <c r="F10" s="7">
        <v>119</v>
      </c>
      <c r="G10" s="8">
        <v>13.52</v>
      </c>
      <c r="H10" s="6" t="s">
        <v>38</v>
      </c>
      <c r="I10" s="9" t="str">
        <f>HYPERLINK("https://www.tienda-institutpaulofreire.com/aprendizajes09.html","Ver ficha")</f>
        <v>Ver ficha</v>
      </c>
      <c r="J10" s="9" t="str">
        <f>HYPERLINK("https://www.tienda-institutpaulofreire.com/images/aprendizajes/09.png","Ver portada")</f>
        <v>Ver portada</v>
      </c>
    </row>
    <row r="11" ht="21" customHeight="1">
      <c r="A11" s="10" t="s">
        <v>39</v>
      </c>
      <c r="B11" s="10" t="s">
        <v>40</v>
      </c>
      <c r="C11" s="11" t="s">
        <v>12</v>
      </c>
      <c r="D11" s="12" t="s">
        <v>13</v>
      </c>
      <c r="E11" s="12">
        <v>2006</v>
      </c>
      <c r="F11" s="13">
        <v>197</v>
      </c>
      <c r="G11" s="14">
        <v>13.52</v>
      </c>
      <c r="H11" s="12" t="s">
        <v>41</v>
      </c>
      <c r="I11" s="15" t="str">
        <f>HYPERLINK("https://www.tienda-institutpaulofreire.com/aprendizajes10.html","Ver ficha")</f>
        <v>Ver ficha</v>
      </c>
      <c r="J11" s="15" t="str">
        <f>HYPERLINK("https://www.tienda-institutpaulofreire.com/images/aprendizajes/10.png","Ver portada")</f>
        <v>Ver portada</v>
      </c>
    </row>
    <row r="12" ht="21" customHeight="1">
      <c r="A12" s="4" t="s">
        <v>42</v>
      </c>
      <c r="B12" s="4" t="s">
        <v>43</v>
      </c>
      <c r="C12" s="5" t="s">
        <v>12</v>
      </c>
      <c r="D12" s="6" t="s">
        <v>13</v>
      </c>
      <c r="E12" s="6">
        <v>2007</v>
      </c>
      <c r="F12" s="7">
        <v>221</v>
      </c>
      <c r="G12" s="8">
        <v>13.52</v>
      </c>
      <c r="H12" s="6" t="s">
        <v>44</v>
      </c>
      <c r="I12" s="9" t="str">
        <f>HYPERLINK("https://www.tienda-institutpaulofreire.com/aprendizajes11.html","Ver ficha")</f>
        <v>Ver ficha</v>
      </c>
      <c r="J12" s="9" t="str">
        <f>HYPERLINK("https://www.tienda-institutpaulofreire.com/images/aprendizajes/11.png","Ver portada")</f>
        <v>Ver portada</v>
      </c>
    </row>
    <row r="13" ht="21" customHeight="1">
      <c r="A13" s="10" t="s">
        <v>45</v>
      </c>
      <c r="B13" s="10" t="s">
        <v>46</v>
      </c>
      <c r="C13" s="11" t="s">
        <v>12</v>
      </c>
      <c r="D13" s="12" t="s">
        <v>13</v>
      </c>
      <c r="E13" s="12">
        <v>2008</v>
      </c>
      <c r="F13" s="13">
        <v>317</v>
      </c>
      <c r="G13" s="14">
        <v>13.52</v>
      </c>
      <c r="H13" s="12" t="s">
        <v>47</v>
      </c>
      <c r="I13" s="15" t="str">
        <f>HYPERLINK("https://www.tienda-institutpaulofreire.com/aprendizajes12.html","Ver ficha")</f>
        <v>Ver ficha</v>
      </c>
      <c r="J13" s="15" t="str">
        <f>HYPERLINK("https://www.tienda-institutpaulofreire.com/images/aprendizajes/12.png","Ver portada")</f>
        <v>Ver portada</v>
      </c>
    </row>
    <row r="14" ht="21" customHeight="1">
      <c r="A14" s="4" t="s">
        <v>48</v>
      </c>
      <c r="B14" s="4" t="s">
        <v>49</v>
      </c>
      <c r="C14" s="5" t="s">
        <v>12</v>
      </c>
      <c r="D14" s="6" t="s">
        <v>13</v>
      </c>
      <c r="E14" s="6">
        <v>2009</v>
      </c>
      <c r="F14" s="7">
        <v>238</v>
      </c>
      <c r="G14" s="8">
        <v>13.52</v>
      </c>
      <c r="H14" s="6" t="s">
        <v>50</v>
      </c>
      <c r="I14" s="9" t="str">
        <f>HYPERLINK("https://www.tienda-institutpaulofreire.com/aprendizajes13.html","Ver ficha")</f>
        <v>Ver ficha</v>
      </c>
      <c r="J14" s="9" t="str">
        <f>HYPERLINK("https://www.tienda-institutpaulofreire.com/images/aprendizajes/13.png","Ver portada")</f>
        <v>Ver portada</v>
      </c>
    </row>
    <row r="15" ht="21" customHeight="1">
      <c r="A15" s="10" t="s">
        <v>51</v>
      </c>
      <c r="B15" s="10" t="s">
        <v>52</v>
      </c>
      <c r="C15" s="11" t="s">
        <v>12</v>
      </c>
      <c r="D15" s="12" t="s">
        <v>13</v>
      </c>
      <c r="E15" s="12">
        <v>2010</v>
      </c>
      <c r="F15" s="13">
        <v>276</v>
      </c>
      <c r="G15" s="14">
        <v>13.52</v>
      </c>
      <c r="H15" s="12" t="s">
        <v>53</v>
      </c>
      <c r="I15" s="15" t="str">
        <f>HYPERLINK("https://www.tienda-institutpaulofreire.com/aprendizajes14.html","Ver ficha")</f>
        <v>Ver ficha</v>
      </c>
      <c r="J15" s="15" t="str">
        <f>HYPERLINK("https://www.tienda-institutpaulofreire.com/images/aprendizajes/14.png","Ver portada")</f>
        <v>Ver portada</v>
      </c>
    </row>
    <row r="16" ht="21" customHeight="1">
      <c r="A16" s="4" t="s">
        <v>54</v>
      </c>
      <c r="B16" s="4" t="s">
        <v>55</v>
      </c>
      <c r="C16" s="5" t="s">
        <v>12</v>
      </c>
      <c r="D16" s="6" t="s">
        <v>13</v>
      </c>
      <c r="E16" s="6">
        <v>2011</v>
      </c>
      <c r="F16" s="7">
        <v>150</v>
      </c>
      <c r="G16" s="8">
        <v>13.52</v>
      </c>
      <c r="H16" s="6" t="s">
        <v>56</v>
      </c>
      <c r="I16" s="9" t="str">
        <f>HYPERLINK("https://www.tienda-institutpaulofreire.com/aprendizajes15.html","Ver ficha")</f>
        <v>Ver ficha</v>
      </c>
      <c r="J16" s="9" t="str">
        <f>HYPERLINK("https://www.tienda-institutpaulofreire.com/images/aprendizajes/15.png","Ver portada")</f>
        <v>Ver portada</v>
      </c>
    </row>
    <row r="17" ht="36" customHeight="1">
      <c r="A17" s="10" t="s">
        <v>57</v>
      </c>
      <c r="B17" s="10" t="s">
        <v>58</v>
      </c>
      <c r="C17" s="11" t="s">
        <v>12</v>
      </c>
      <c r="D17" s="12" t="s">
        <v>13</v>
      </c>
      <c r="E17" s="12"/>
      <c r="F17" s="13"/>
      <c r="G17" s="14">
        <v>13.52</v>
      </c>
      <c r="H17" s="12"/>
      <c r="I17" s="15" t="str">
        <f>HYPERLINK("https://www.tienda-institutpaulofreire.com/aprendizajes16.html","Ver ficha")</f>
        <v>Ver ficha</v>
      </c>
      <c r="J17" s="15" t="str">
        <f>HYPERLINK("https://www.tienda-institutpaulofreire.com/images/aprendizajes/16.png","Ver portada")</f>
        <v>Ver portada</v>
      </c>
    </row>
    <row r="18" ht="21" customHeight="1">
      <c r="A18" s="4" t="s">
        <v>59</v>
      </c>
      <c r="B18" s="4" t="s">
        <v>60</v>
      </c>
      <c r="C18" s="5" t="s">
        <v>12</v>
      </c>
      <c r="D18" s="6" t="s">
        <v>13</v>
      </c>
      <c r="E18" s="6"/>
      <c r="F18" s="7"/>
      <c r="G18" s="8">
        <v>13.52</v>
      </c>
      <c r="H18" s="6"/>
      <c r="I18" s="9" t="str">
        <f>HYPERLINK("https://www.tienda-institutpaulofreire.com/aprendizajes17.html","Ver ficha")</f>
        <v>Ver ficha</v>
      </c>
      <c r="J18" s="9" t="str">
        <f>HYPERLINK("https://www.tienda-institutpaulofreire.com/images/aprendizajes/17.png","Ver portada")</f>
        <v>Ver portada</v>
      </c>
    </row>
    <row r="19" ht="21" customHeight="1">
      <c r="A19" s="10" t="s">
        <v>61</v>
      </c>
      <c r="B19" s="10" t="s">
        <v>62</v>
      </c>
      <c r="C19" s="11" t="s">
        <v>12</v>
      </c>
      <c r="D19" s="12" t="s">
        <v>13</v>
      </c>
      <c r="E19" s="12"/>
      <c r="F19" s="13"/>
      <c r="G19" s="14">
        <v>13.52</v>
      </c>
      <c r="H19" s="12"/>
      <c r="I19" s="15" t="str">
        <f>HYPERLINK("https://www.tienda-institutpaulofreire.com/aprendizajes18.html","Ver ficha")</f>
        <v>Ver ficha</v>
      </c>
      <c r="J19" s="15" t="str">
        <f>HYPERLINK("https://www.tienda-institutpaulofreire.com/images/aprendizajes/18.png","Ver portada")</f>
        <v>Ver portada</v>
      </c>
    </row>
    <row r="20" ht="36" customHeight="1">
      <c r="A20" s="4" t="s">
        <v>63</v>
      </c>
      <c r="B20" s="4" t="s">
        <v>64</v>
      </c>
      <c r="C20" s="5" t="s">
        <v>12</v>
      </c>
      <c r="D20" s="6" t="s">
        <v>13</v>
      </c>
      <c r="E20" s="6"/>
      <c r="F20" s="7"/>
      <c r="G20" s="8">
        <v>13.52</v>
      </c>
      <c r="H20" s="6"/>
      <c r="I20" s="9" t="str">
        <f>HYPERLINK("https://www.tienda-institutpaulofreire.com/aprendizajes19.html","Ver ficha")</f>
        <v>Ver ficha</v>
      </c>
      <c r="J20" s="9" t="str">
        <f>HYPERLINK("https://www.tienda-institutpaulofreire.com/images/aprendizajes/19.png","Ver portada")</f>
        <v>Ver portada</v>
      </c>
    </row>
    <row r="21" ht="36" customHeight="1">
      <c r="A21" s="10" t="s">
        <v>65</v>
      </c>
      <c r="B21" s="10" t="s">
        <v>66</v>
      </c>
      <c r="C21" s="11" t="s">
        <v>12</v>
      </c>
      <c r="D21" s="12" t="s">
        <v>13</v>
      </c>
      <c r="E21" s="12"/>
      <c r="F21" s="13"/>
      <c r="G21" s="14">
        <v>9.73</v>
      </c>
      <c r="H21" s="12"/>
      <c r="I21" s="15" t="str">
        <f>HYPERLINK("https://www.tienda-institutpaulofreire.com/aprendizajes20.html","Ver ficha")</f>
        <v>Ver ficha</v>
      </c>
      <c r="J21" s="15" t="str">
        <f>HYPERLINK("https://www.tienda-institutpaulofreire.com/images/aprendizajes/20.png","Ver portada")</f>
        <v>Ver portada</v>
      </c>
    </row>
    <row r="22" ht="21" customHeight="1">
      <c r="A22" s="4" t="s">
        <v>67</v>
      </c>
      <c r="B22" s="4" t="s">
        <v>68</v>
      </c>
      <c r="C22" s="5" t="s">
        <v>69</v>
      </c>
      <c r="D22" s="6" t="s">
        <v>70</v>
      </c>
      <c r="E22" s="6">
        <v>2003</v>
      </c>
      <c r="F22" s="7">
        <v>109</v>
      </c>
      <c r="G22" s="8">
        <v>18.72</v>
      </c>
      <c r="H22" s="6" t="s">
        <v>71</v>
      </c>
      <c r="I22" s="9" t="str">
        <f>HYPERLINK("https://www.tienda-institutpaulofreire.com/bpf01.html","Ver ficha")</f>
        <v>Ver ficha</v>
      </c>
      <c r="J22" s="9" t="str">
        <f>HYPERLINK("https://www.tienda-institutpaulofreire.com/images/bpf/01.png","Ver portada")</f>
        <v>Ver portada</v>
      </c>
    </row>
    <row r="23" ht="21" customHeight="1">
      <c r="A23" s="10" t="s">
        <v>72</v>
      </c>
      <c r="B23" s="10" t="s">
        <v>73</v>
      </c>
      <c r="C23" s="11" t="s">
        <v>69</v>
      </c>
      <c r="D23" s="12" t="s">
        <v>70</v>
      </c>
      <c r="E23" s="12"/>
      <c r="F23" s="13">
        <v>246</v>
      </c>
      <c r="G23" s="14">
        <v>18.72</v>
      </c>
      <c r="H23" s="12" t="s">
        <v>74</v>
      </c>
      <c r="I23" s="15" t="str">
        <f>HYPERLINK("https://www.tienda-institutpaulofreire.com/bpf02.html","Ver ficha")</f>
        <v>Ver ficha</v>
      </c>
      <c r="J23" s="15" t="str">
        <f>HYPERLINK("https://www.tienda-institutpaulofreire.com/images/bpf/02.png","Ver portada")</f>
        <v>Ver portada</v>
      </c>
    </row>
    <row r="24" ht="36" customHeight="1">
      <c r="A24" s="4" t="s">
        <v>75</v>
      </c>
      <c r="B24" s="4" t="s">
        <v>76</v>
      </c>
      <c r="C24" s="5" t="s">
        <v>69</v>
      </c>
      <c r="D24" s="6" t="s">
        <v>70</v>
      </c>
      <c r="E24" s="6">
        <v>2003</v>
      </c>
      <c r="F24" s="7">
        <v>208</v>
      </c>
      <c r="G24" s="8">
        <v>18.72</v>
      </c>
      <c r="H24" s="6" t="s">
        <v>77</v>
      </c>
      <c r="I24" s="9" t="str">
        <f>HYPERLINK("https://www.tienda-institutpaulofreire.com/bpf03.html","Ver ficha")</f>
        <v>Ver ficha</v>
      </c>
      <c r="J24" s="9" t="str">
        <f>HYPERLINK("https://www.tienda-institutpaulofreire.com/images/bpf/03.png","Ver portada")</f>
        <v>Ver portada</v>
      </c>
    </row>
    <row r="25" ht="21" customHeight="1">
      <c r="A25" s="10" t="s">
        <v>78</v>
      </c>
      <c r="B25" s="10" t="s">
        <v>68</v>
      </c>
      <c r="C25" s="11" t="s">
        <v>69</v>
      </c>
      <c r="D25" s="12" t="s">
        <v>70</v>
      </c>
      <c r="E25" s="12">
        <v>2003</v>
      </c>
      <c r="F25" s="13">
        <v>112</v>
      </c>
      <c r="G25" s="14">
        <v>18.72</v>
      </c>
      <c r="H25" s="12" t="s">
        <v>79</v>
      </c>
      <c r="I25" s="15" t="str">
        <f>HYPERLINK("https://www.tienda-institutpaulofreire.com/bpf04.html","Ver ficha")</f>
        <v>Ver ficha</v>
      </c>
      <c r="J25" s="15" t="str">
        <f>HYPERLINK("https://www.tienda-institutpaulofreire.com/images/bpf/04.png","Ver portada")</f>
        <v>Ver portada</v>
      </c>
    </row>
    <row r="26" ht="36" customHeight="1">
      <c r="A26" s="4" t="s">
        <v>80</v>
      </c>
      <c r="B26" s="4" t="s">
        <v>81</v>
      </c>
      <c r="C26" s="5" t="s">
        <v>69</v>
      </c>
      <c r="D26" s="6" t="s">
        <v>70</v>
      </c>
      <c r="E26" s="6">
        <v>2003</v>
      </c>
      <c r="F26" s="7">
        <v>295</v>
      </c>
      <c r="G26" s="8">
        <v>18.72</v>
      </c>
      <c r="H26" s="6" t="s">
        <v>82</v>
      </c>
      <c r="I26" s="9" t="str">
        <f>HYPERLINK("https://www.tienda-institutpaulofreire.com/bpf05.html","Ver ficha")</f>
        <v>Ver ficha</v>
      </c>
      <c r="J26" s="9" t="str">
        <f>HYPERLINK("https://www.tienda-institutpaulofreire.com/images/bpf/05.png","Ver portada")</f>
        <v>Ver portada</v>
      </c>
    </row>
    <row r="27" ht="21" customHeight="1">
      <c r="A27" s="10" t="s">
        <v>83</v>
      </c>
      <c r="B27" s="10" t="s">
        <v>31</v>
      </c>
      <c r="C27" s="11" t="s">
        <v>69</v>
      </c>
      <c r="D27" s="12" t="s">
        <v>70</v>
      </c>
      <c r="E27" s="12">
        <v>2003</v>
      </c>
      <c r="F27" s="13">
        <v>311</v>
      </c>
      <c r="G27" s="14">
        <v>18.72</v>
      </c>
      <c r="H27" s="12" t="s">
        <v>84</v>
      </c>
      <c r="I27" s="15" t="str">
        <f>HYPERLINK("https://www.tienda-institutpaulofreire.com/bpf06.html","Ver ficha")</f>
        <v>Ver ficha</v>
      </c>
      <c r="J27" s="15" t="str">
        <f>HYPERLINK("https://www.tienda-institutpaulofreire.com/images/bpf/06.png","Ver portada")</f>
        <v>Ver portada</v>
      </c>
    </row>
    <row r="28" ht="21" customHeight="1">
      <c r="A28" s="4" t="s">
        <v>85</v>
      </c>
      <c r="B28" s="4" t="s">
        <v>68</v>
      </c>
      <c r="C28" s="5" t="s">
        <v>69</v>
      </c>
      <c r="D28" s="6" t="s">
        <v>70</v>
      </c>
      <c r="E28" s="6">
        <v>2004</v>
      </c>
      <c r="F28" s="7">
        <v>224</v>
      </c>
      <c r="G28" s="8">
        <v>18.72</v>
      </c>
      <c r="H28" s="6" t="s">
        <v>86</v>
      </c>
      <c r="I28" s="9" t="str">
        <f>HYPERLINK("https://www.tienda-institutpaulofreire.com/bpf07.html","Ver ficha")</f>
        <v>Ver ficha</v>
      </c>
      <c r="J28" s="9" t="str">
        <f>HYPERLINK("https://www.tienda-institutpaulofreire.com/images/bpf/07.png","Ver portada")</f>
        <v>Ver portada</v>
      </c>
    </row>
    <row r="29" ht="36" customHeight="1">
      <c r="A29" s="10" t="s">
        <v>87</v>
      </c>
      <c r="B29" s="10" t="s">
        <v>88</v>
      </c>
      <c r="C29" s="11" t="s">
        <v>69</v>
      </c>
      <c r="D29" s="12" t="s">
        <v>70</v>
      </c>
      <c r="E29" s="12">
        <v>2004</v>
      </c>
      <c r="F29" s="13">
        <v>298</v>
      </c>
      <c r="G29" s="14">
        <v>18.72</v>
      </c>
      <c r="H29" s="12" t="s">
        <v>89</v>
      </c>
      <c r="I29" s="15" t="str">
        <f>HYPERLINK("https://www.tienda-institutpaulofreire.com/bpf08.html","Ver ficha")</f>
        <v>Ver ficha</v>
      </c>
      <c r="J29" s="15" t="str">
        <f>HYPERLINK("https://www.tienda-institutpaulofreire.com/images/bpf/08.png","Ver portada")</f>
        <v>Ver portada</v>
      </c>
    </row>
    <row r="30" ht="36" customHeight="1">
      <c r="A30" s="4" t="s">
        <v>90</v>
      </c>
      <c r="B30" s="4" t="s">
        <v>91</v>
      </c>
      <c r="C30" s="5" t="s">
        <v>69</v>
      </c>
      <c r="D30" s="6" t="s">
        <v>70</v>
      </c>
      <c r="E30" s="6">
        <v>2004</v>
      </c>
      <c r="F30" s="7"/>
      <c r="G30" s="8">
        <v>18.72</v>
      </c>
      <c r="H30" s="6"/>
      <c r="I30" s="9" t="str">
        <f>HYPERLINK("https://www.tienda-institutpaulofreire.com/bpf09.html","Ver ficha")</f>
        <v>Ver ficha</v>
      </c>
      <c r="J30" s="9" t="str">
        <f>HYPERLINK("https://www.tienda-institutpaulofreire.com/images/bpf/09.png","Ver portada")</f>
        <v>Ver portada</v>
      </c>
    </row>
    <row r="31" ht="36" customHeight="1">
      <c r="A31" s="10" t="s">
        <v>92</v>
      </c>
      <c r="B31" s="10" t="s">
        <v>68</v>
      </c>
      <c r="C31" s="11" t="s">
        <v>69</v>
      </c>
      <c r="D31" s="12" t="s">
        <v>70</v>
      </c>
      <c r="E31" s="12">
        <v>2005</v>
      </c>
      <c r="F31" s="13">
        <v>191</v>
      </c>
      <c r="G31" s="14">
        <v>18.72</v>
      </c>
      <c r="H31" s="12" t="s">
        <v>93</v>
      </c>
      <c r="I31" s="15" t="str">
        <f>HYPERLINK("https://www.tienda-institutpaulofreire.com/bpf10.html","Ver ficha")</f>
        <v>Ver ficha</v>
      </c>
      <c r="J31" s="15" t="str">
        <f>HYPERLINK("https://www.tienda-institutpaulofreire.com/images/bpf/10.png","Ver portada")</f>
        <v>Ver portada</v>
      </c>
    </row>
    <row r="32" ht="21" customHeight="1">
      <c r="A32" s="4" t="s">
        <v>94</v>
      </c>
      <c r="B32" s="4" t="s">
        <v>25</v>
      </c>
      <c r="C32" s="5" t="s">
        <v>69</v>
      </c>
      <c r="D32" s="6" t="s">
        <v>70</v>
      </c>
      <c r="E32" s="6">
        <v>2005</v>
      </c>
      <c r="F32" s="7"/>
      <c r="G32" s="8">
        <v>18.72</v>
      </c>
      <c r="H32" s="6" t="s">
        <v>95</v>
      </c>
      <c r="I32" s="9" t="str">
        <f>HYPERLINK("https://www.tienda-institutpaulofreire.com/bpf11.html","Ver ficha")</f>
        <v>Ver ficha</v>
      </c>
      <c r="J32" s="9" t="str">
        <f>HYPERLINK("https://www.tienda-institutpaulofreire.com/images/bpf/11.png","Ver portada")</f>
        <v>Ver portada</v>
      </c>
    </row>
    <row r="33" ht="21" customHeight="1">
      <c r="A33" s="10" t="s">
        <v>96</v>
      </c>
      <c r="B33" s="10" t="s">
        <v>97</v>
      </c>
      <c r="C33" s="11" t="s">
        <v>69</v>
      </c>
      <c r="D33" s="12" t="s">
        <v>70</v>
      </c>
      <c r="E33" s="12">
        <v>2005</v>
      </c>
      <c r="F33" s="13">
        <v>191</v>
      </c>
      <c r="G33" s="14">
        <v>18.72</v>
      </c>
      <c r="H33" s="12" t="s">
        <v>98</v>
      </c>
      <c r="I33" s="15" t="str">
        <f>HYPERLINK("https://www.tienda-institutpaulofreire.com/bpf12.html","Ver ficha")</f>
        <v>Ver ficha</v>
      </c>
      <c r="J33" s="15" t="str">
        <f>HYPERLINK("https://www.tienda-institutpaulofreire.com/images/bpf/12.png","Ver portada")</f>
        <v>Ver portada</v>
      </c>
    </row>
    <row r="34" ht="21" customHeight="1">
      <c r="A34" s="4" t="s">
        <v>99</v>
      </c>
      <c r="B34" s="4" t="s">
        <v>68</v>
      </c>
      <c r="C34" s="5" t="s">
        <v>69</v>
      </c>
      <c r="D34" s="6" t="s">
        <v>70</v>
      </c>
      <c r="E34" s="6">
        <v>2006</v>
      </c>
      <c r="F34" s="7">
        <v>205</v>
      </c>
      <c r="G34" s="8">
        <v>18.72</v>
      </c>
      <c r="H34" s="6" t="s">
        <v>100</v>
      </c>
      <c r="I34" s="9" t="str">
        <f>HYPERLINK("https://www.tienda-institutpaulofreire.com/bpf13.html","Ver ficha")</f>
        <v>Ver ficha</v>
      </c>
      <c r="J34" s="9" t="str">
        <f>HYPERLINK("https://www.tienda-institutpaulofreire.com/images/bpf/13.png","Ver portada")</f>
        <v>Ver portada</v>
      </c>
    </row>
    <row r="35" ht="36" customHeight="1">
      <c r="A35" s="10" t="s">
        <v>101</v>
      </c>
      <c r="B35" s="10" t="s">
        <v>102</v>
      </c>
      <c r="C35" s="11" t="s">
        <v>69</v>
      </c>
      <c r="D35" s="12" t="s">
        <v>70</v>
      </c>
      <c r="E35" s="12">
        <v>2006</v>
      </c>
      <c r="F35" s="13">
        <v>175</v>
      </c>
      <c r="G35" s="14">
        <v>18.72</v>
      </c>
      <c r="H35" s="12" t="s">
        <v>103</v>
      </c>
      <c r="I35" s="15" t="str">
        <f>HYPERLINK("https://www.tienda-institutpaulofreire.com/bpf14.html","Ver ficha")</f>
        <v>Ver ficha</v>
      </c>
      <c r="J35" s="15" t="str">
        <f>HYPERLINK("https://www.tienda-institutpaulofreire.com/images/bpf/14.png","Ver portada")</f>
        <v>Ver portada</v>
      </c>
    </row>
    <row r="36" ht="36" customHeight="1">
      <c r="A36" s="4" t="s">
        <v>104</v>
      </c>
      <c r="B36" s="4" t="s">
        <v>105</v>
      </c>
      <c r="C36" s="5" t="s">
        <v>69</v>
      </c>
      <c r="D36" s="6" t="s">
        <v>70</v>
      </c>
      <c r="E36" s="6">
        <v>2006</v>
      </c>
      <c r="F36" s="7">
        <v>389</v>
      </c>
      <c r="G36" s="8">
        <v>18.72</v>
      </c>
      <c r="H36" s="6" t="s">
        <v>106</v>
      </c>
      <c r="I36" s="9" t="str">
        <f>HYPERLINK("https://www.tienda-institutpaulofreire.com/bpf15.html","Ver ficha")</f>
        <v>Ver ficha</v>
      </c>
      <c r="J36" s="9" t="str">
        <f>HYPERLINK("https://www.tienda-institutpaulofreire.com/images/bpf/15.png","Ver portada")</f>
        <v>Ver portada</v>
      </c>
    </row>
    <row r="37" ht="51" customHeight="1">
      <c r="A37" s="10" t="s">
        <v>107</v>
      </c>
      <c r="B37" s="10" t="s">
        <v>108</v>
      </c>
      <c r="C37" s="11" t="s">
        <v>69</v>
      </c>
      <c r="D37" s="12" t="s">
        <v>70</v>
      </c>
      <c r="E37" s="12">
        <v>2006</v>
      </c>
      <c r="F37" s="13">
        <v>508</v>
      </c>
      <c r="G37" s="14">
        <v>18.72</v>
      </c>
      <c r="H37" s="12" t="s">
        <v>109</v>
      </c>
      <c r="I37" s="15" t="str">
        <f>HYPERLINK("https://www.tienda-institutpaulofreire.com/bpf16.html","Ver ficha")</f>
        <v>Ver ficha</v>
      </c>
      <c r="J37" s="15" t="str">
        <f>HYPERLINK("https://www.tienda-institutpaulofreire.com/images/bpf/16.png","Ver portada")</f>
        <v>Ver portada</v>
      </c>
    </row>
    <row r="38" ht="36" customHeight="1">
      <c r="A38" s="4" t="s">
        <v>110</v>
      </c>
      <c r="B38" s="4" t="s">
        <v>68</v>
      </c>
      <c r="C38" s="5" t="s">
        <v>69</v>
      </c>
      <c r="D38" s="6" t="s">
        <v>70</v>
      </c>
      <c r="E38" s="6">
        <v>2007</v>
      </c>
      <c r="F38" s="7">
        <v>135</v>
      </c>
      <c r="G38" s="8">
        <v>18.72</v>
      </c>
      <c r="H38" s="6" t="s">
        <v>111</v>
      </c>
      <c r="I38" s="9" t="str">
        <f>HYPERLINK("https://www.tienda-institutpaulofreire.com/bpf17.html","Ver ficha")</f>
        <v>Ver ficha</v>
      </c>
      <c r="J38" s="9" t="str">
        <f>HYPERLINK("https://www.tienda-institutpaulofreire.com/images/bpf/17.png","Ver portada")</f>
        <v>Ver portada</v>
      </c>
    </row>
    <row r="39" ht="21" customHeight="1">
      <c r="A39" s="10" t="s">
        <v>112</v>
      </c>
      <c r="B39" s="10" t="s">
        <v>113</v>
      </c>
      <c r="C39" s="11" t="s">
        <v>69</v>
      </c>
      <c r="D39" s="12" t="s">
        <v>70</v>
      </c>
      <c r="E39" s="12">
        <v>2007</v>
      </c>
      <c r="F39" s="13">
        <v>247</v>
      </c>
      <c r="G39" s="14">
        <v>18.72</v>
      </c>
      <c r="H39" s="12" t="s">
        <v>114</v>
      </c>
      <c r="I39" s="15" t="str">
        <f>HYPERLINK("https://www.tienda-institutpaulofreire.com/bpf18.html","Ver ficha")</f>
        <v>Ver ficha</v>
      </c>
      <c r="J39" s="15" t="str">
        <f>HYPERLINK("https://www.tienda-institutpaulofreire.com/images/bpf/18.png","Ver portada")</f>
        <v>Ver portada</v>
      </c>
    </row>
    <row r="40" ht="21" customHeight="1">
      <c r="A40" s="4" t="s">
        <v>115</v>
      </c>
      <c r="B40" s="4" t="s">
        <v>116</v>
      </c>
      <c r="C40" s="5" t="s">
        <v>69</v>
      </c>
      <c r="D40" s="6" t="s">
        <v>70</v>
      </c>
      <c r="E40" s="6">
        <v>2007</v>
      </c>
      <c r="F40" s="7">
        <v>273</v>
      </c>
      <c r="G40" s="8">
        <v>18.72</v>
      </c>
      <c r="H40" s="6" t="s">
        <v>117</v>
      </c>
      <c r="I40" s="9" t="str">
        <f>HYPERLINK("https://www.tienda-institutpaulofreire.com/bpf19.html","Ver ficha")</f>
        <v>Ver ficha</v>
      </c>
      <c r="J40" s="9" t="str">
        <f>HYPERLINK("https://www.tienda-institutpaulofreire.com/images/bpf/19.png","Ver portada")</f>
        <v>Ver portada</v>
      </c>
    </row>
    <row r="41" ht="21" customHeight="1">
      <c r="A41" s="10" t="s">
        <v>118</v>
      </c>
      <c r="B41" s="10" t="s">
        <v>68</v>
      </c>
      <c r="C41" s="11" t="s">
        <v>69</v>
      </c>
      <c r="D41" s="12" t="s">
        <v>70</v>
      </c>
      <c r="E41" s="12">
        <v>2008</v>
      </c>
      <c r="F41" s="13">
        <v>137</v>
      </c>
      <c r="G41" s="14">
        <v>18.72</v>
      </c>
      <c r="H41" s="12" t="s">
        <v>119</v>
      </c>
      <c r="I41" s="15" t="str">
        <f>HYPERLINK("https://www.tienda-institutpaulofreire.com/bpf20.html","Ver ficha")</f>
        <v>Ver ficha</v>
      </c>
      <c r="J41" s="15" t="str">
        <f>HYPERLINK("https://www.tienda-institutpaulofreire.com/images/bpf/20.png","Ver portada")</f>
        <v>Ver portada</v>
      </c>
    </row>
    <row r="42" ht="36" customHeight="1">
      <c r="A42" s="4" t="s">
        <v>120</v>
      </c>
      <c r="B42" s="4" t="s">
        <v>121</v>
      </c>
      <c r="C42" s="5" t="s">
        <v>69</v>
      </c>
      <c r="D42" s="6" t="s">
        <v>70</v>
      </c>
      <c r="E42" s="6">
        <v>2008</v>
      </c>
      <c r="F42" s="7">
        <v>137</v>
      </c>
      <c r="G42" s="8">
        <v>18.72</v>
      </c>
      <c r="H42" s="6" t="s">
        <v>119</v>
      </c>
      <c r="I42" s="9" t="str">
        <f>HYPERLINK("https://www.tienda-institutpaulofreire.com/bpf21.html","Ver ficha")</f>
        <v>Ver ficha</v>
      </c>
      <c r="J42" s="9" t="str">
        <f>HYPERLINK("https://www.tienda-institutpaulofreire.com/images/bpf/21.png","Ver portada")</f>
        <v>Ver portada</v>
      </c>
    </row>
    <row r="43" ht="66" customHeight="1">
      <c r="A43" s="10" t="s">
        <v>122</v>
      </c>
      <c r="B43" s="10" t="s">
        <v>123</v>
      </c>
      <c r="C43" s="11" t="s">
        <v>69</v>
      </c>
      <c r="D43" s="12" t="s">
        <v>70</v>
      </c>
      <c r="E43" s="12">
        <v>2008</v>
      </c>
      <c r="F43" s="13">
        <v>234</v>
      </c>
      <c r="G43" s="14">
        <v>18.72</v>
      </c>
      <c r="H43" s="12" t="s">
        <v>124</v>
      </c>
      <c r="I43" s="15" t="str">
        <f>HYPERLINK("https://www.tienda-institutpaulofreire.com/bpf22.html","Ver ficha")</f>
        <v>Ver ficha</v>
      </c>
      <c r="J43" s="15" t="str">
        <f>HYPERLINK("https://www.tienda-institutpaulofreire.com/images/bpf/22.png","Ver portada")</f>
        <v>Ver portada</v>
      </c>
    </row>
    <row r="44" ht="36" customHeight="1">
      <c r="A44" s="4" t="s">
        <v>125</v>
      </c>
      <c r="B44" s="4" t="s">
        <v>126</v>
      </c>
      <c r="C44" s="5" t="s">
        <v>69</v>
      </c>
      <c r="D44" s="6" t="s">
        <v>70</v>
      </c>
      <c r="E44" s="6">
        <v>2009</v>
      </c>
      <c r="F44" s="7">
        <v>230</v>
      </c>
      <c r="G44" s="8">
        <v>18.72</v>
      </c>
      <c r="H44" s="6" t="s">
        <v>127</v>
      </c>
      <c r="I44" s="9" t="str">
        <f>HYPERLINK("https://www.tienda-institutpaulofreire.com/bpf23.html","Ver ficha")</f>
        <v>Ver ficha</v>
      </c>
      <c r="J44" s="9" t="str">
        <f>HYPERLINK("https://www.tienda-institutpaulofreire.com/images/bpf/23.png","Ver portada")</f>
        <v>Ver portada</v>
      </c>
    </row>
    <row r="45" ht="21" customHeight="1">
      <c r="A45" s="10" t="s">
        <v>128</v>
      </c>
      <c r="B45" s="10" t="s">
        <v>129</v>
      </c>
      <c r="C45" s="11" t="s">
        <v>69</v>
      </c>
      <c r="D45" s="12" t="s">
        <v>70</v>
      </c>
      <c r="E45" s="12">
        <v>2009</v>
      </c>
      <c r="F45" s="13"/>
      <c r="G45" s="14">
        <v>18.72</v>
      </c>
      <c r="H45" s="12" t="s">
        <v>130</v>
      </c>
      <c r="I45" s="15" t="str">
        <f>HYPERLINK("https://www.tienda-institutpaulofreire.com/bpf24.html","Ver ficha")</f>
        <v>Ver ficha</v>
      </c>
      <c r="J45" s="15" t="str">
        <f>HYPERLINK("https://www.tienda-institutpaulofreire.com/images/bpf/24.png","Ver portada")</f>
        <v>Ver portada</v>
      </c>
    </row>
    <row r="46" ht="21" customHeight="1">
      <c r="A46" s="4" t="s">
        <v>131</v>
      </c>
      <c r="B46" s="4" t="s">
        <v>132</v>
      </c>
      <c r="C46" s="5" t="s">
        <v>69</v>
      </c>
      <c r="D46" s="6" t="s">
        <v>70</v>
      </c>
      <c r="E46" s="6">
        <v>2009</v>
      </c>
      <c r="F46" s="7">
        <v>47</v>
      </c>
      <c r="G46" s="8">
        <v>18.72</v>
      </c>
      <c r="H46" s="6" t="s">
        <v>133</v>
      </c>
      <c r="I46" s="9" t="str">
        <f>HYPERLINK("https://www.tienda-institutpaulofreire.com/bpf25.html","Ver ficha")</f>
        <v>Ver ficha</v>
      </c>
      <c r="J46" s="9" t="str">
        <f>HYPERLINK("https://www.tienda-institutpaulofreire.com/images/bpf/25.png","Ver portada")</f>
        <v>Ver portada</v>
      </c>
    </row>
    <row r="47" ht="21" customHeight="1">
      <c r="A47" s="10" t="s">
        <v>134</v>
      </c>
      <c r="B47" s="10" t="s">
        <v>68</v>
      </c>
      <c r="C47" s="11" t="s">
        <v>69</v>
      </c>
      <c r="D47" s="12" t="s">
        <v>70</v>
      </c>
      <c r="E47" s="12">
        <v>2010</v>
      </c>
      <c r="F47" s="13">
        <v>164</v>
      </c>
      <c r="G47" s="14">
        <v>18.72</v>
      </c>
      <c r="H47" s="12" t="s">
        <v>135</v>
      </c>
      <c r="I47" s="15" t="str">
        <f>HYPERLINK("https://www.tienda-institutpaulofreire.com/bpf26.html","Ver ficha")</f>
        <v>Ver ficha</v>
      </c>
      <c r="J47" s="15" t="str">
        <f>HYPERLINK("https://www.tienda-institutpaulofreire.com/images/bpf/26.png","Ver portada")</f>
        <v>Ver portada</v>
      </c>
    </row>
    <row r="48" ht="21" customHeight="1">
      <c r="A48" s="4" t="s">
        <v>136</v>
      </c>
      <c r="B48" s="4" t="s">
        <v>137</v>
      </c>
      <c r="C48" s="5" t="s">
        <v>69</v>
      </c>
      <c r="D48" s="6" t="s">
        <v>70</v>
      </c>
      <c r="E48" s="6">
        <v>2010</v>
      </c>
      <c r="F48" s="7">
        <v>290</v>
      </c>
      <c r="G48" s="8">
        <v>18.72</v>
      </c>
      <c r="H48" s="6" t="s">
        <v>138</v>
      </c>
      <c r="I48" s="9" t="str">
        <f>HYPERLINK("https://www.tienda-institutpaulofreire.com/bpf27.html","Ver ficha")</f>
        <v>Ver ficha</v>
      </c>
      <c r="J48" s="9" t="str">
        <f>HYPERLINK("https://www.tienda-institutpaulofreire.com/images/bpf/27.png","Ver portada")</f>
        <v>Ver portada</v>
      </c>
    </row>
    <row r="49" ht="36" customHeight="1">
      <c r="A49" s="10" t="s">
        <v>139</v>
      </c>
      <c r="B49" s="10" t="s">
        <v>140</v>
      </c>
      <c r="C49" s="11" t="s">
        <v>69</v>
      </c>
      <c r="D49" s="12" t="s">
        <v>70</v>
      </c>
      <c r="E49" s="12">
        <v>2010</v>
      </c>
      <c r="F49" s="13">
        <v>299</v>
      </c>
      <c r="G49" s="14">
        <v>18.72</v>
      </c>
      <c r="H49" s="12" t="s">
        <v>141</v>
      </c>
      <c r="I49" s="15" t="str">
        <f>HYPERLINK("https://www.tienda-institutpaulofreire.com/bpf28.html","Ver ficha")</f>
        <v>Ver ficha</v>
      </c>
      <c r="J49" s="15" t="str">
        <f>HYPERLINK("https://www.tienda-institutpaulofreire.com/images/bpf/28.png","Ver portada")</f>
        <v>Ver portada</v>
      </c>
    </row>
    <row r="50" ht="21" customHeight="1">
      <c r="A50" s="4" t="s">
        <v>142</v>
      </c>
      <c r="B50" s="4" t="s">
        <v>68</v>
      </c>
      <c r="C50" s="5" t="s">
        <v>69</v>
      </c>
      <c r="D50" s="6" t="s">
        <v>70</v>
      </c>
      <c r="E50" s="6">
        <v>2011</v>
      </c>
      <c r="F50" s="7">
        <v>177</v>
      </c>
      <c r="G50" s="8">
        <v>18.72</v>
      </c>
      <c r="H50" s="6" t="s">
        <v>143</v>
      </c>
      <c r="I50" s="9" t="str">
        <f>HYPERLINK("https://www.tienda-institutpaulofreire.com/bpf29.html","Ver ficha")</f>
        <v>Ver ficha</v>
      </c>
      <c r="J50" s="9" t="str">
        <f>HYPERLINK("https://www.tienda-institutpaulofreire.com/images/bpf/29.png","Ver portada")</f>
        <v>Ver portada</v>
      </c>
    </row>
    <row r="51" ht="21" customHeight="1">
      <c r="A51" s="10" t="s">
        <v>144</v>
      </c>
      <c r="B51" s="10" t="s">
        <v>145</v>
      </c>
      <c r="C51" s="11" t="s">
        <v>69</v>
      </c>
      <c r="D51" s="12" t="s">
        <v>70</v>
      </c>
      <c r="E51" s="12"/>
      <c r="F51" s="13">
        <v>142</v>
      </c>
      <c r="G51" s="14">
        <v>18.72</v>
      </c>
      <c r="H51" s="12" t="s">
        <v>146</v>
      </c>
      <c r="I51" s="15" t="str">
        <f>HYPERLINK("https://www.tienda-institutpaulofreire.com/bpf30.html","Ver ficha")</f>
        <v>Ver ficha</v>
      </c>
      <c r="J51" s="15" t="str">
        <f>HYPERLINK("https://www.tienda-institutpaulofreire.com/images/bpf/30.png","Ver portada")</f>
        <v>Ver portada</v>
      </c>
    </row>
    <row r="52" ht="36" customHeight="1">
      <c r="A52" s="4" t="s">
        <v>147</v>
      </c>
      <c r="B52" s="4" t="s">
        <v>55</v>
      </c>
      <c r="C52" s="5" t="s">
        <v>69</v>
      </c>
      <c r="D52" s="6" t="s">
        <v>70</v>
      </c>
      <c r="E52" s="6">
        <v>2011</v>
      </c>
      <c r="F52" s="7">
        <v>102</v>
      </c>
      <c r="G52" s="8">
        <v>18.72</v>
      </c>
      <c r="H52" s="6" t="s">
        <v>148</v>
      </c>
      <c r="I52" s="9" t="str">
        <f>HYPERLINK("https://www.tienda-institutpaulofreire.com/bpf31.html","Ver ficha")</f>
        <v>Ver ficha</v>
      </c>
      <c r="J52" s="9" t="str">
        <f>HYPERLINK("https://www.tienda-institutpaulofreire.com/images/bpf/31.png","Ver portada")</f>
        <v>Ver portada</v>
      </c>
    </row>
    <row r="53" ht="21" customHeight="1">
      <c r="A53" s="10" t="s">
        <v>149</v>
      </c>
      <c r="B53" s="10" t="s">
        <v>68</v>
      </c>
      <c r="C53" s="11" t="s">
        <v>69</v>
      </c>
      <c r="D53" s="12" t="s">
        <v>70</v>
      </c>
      <c r="E53" s="12"/>
      <c r="F53" s="13">
        <v>73</v>
      </c>
      <c r="G53" s="14">
        <v>18.72</v>
      </c>
      <c r="H53" s="12" t="s">
        <v>150</v>
      </c>
      <c r="I53" s="15" t="str">
        <f>HYPERLINK("https://www.tienda-institutpaulofreire.com/bpf32.html","Ver ficha")</f>
        <v>Ver ficha</v>
      </c>
      <c r="J53" s="15" t="str">
        <f>HYPERLINK("https://www.tienda-institutpaulofreire.com/images/bpf/32.png","Ver portada")</f>
        <v>Ver portada</v>
      </c>
    </row>
    <row r="54" ht="36" customHeight="1">
      <c r="A54" s="4" t="s">
        <v>151</v>
      </c>
      <c r="B54" s="4" t="s">
        <v>152</v>
      </c>
      <c r="C54" s="5" t="s">
        <v>69</v>
      </c>
      <c r="D54" s="6" t="s">
        <v>70</v>
      </c>
      <c r="E54" s="6"/>
      <c r="F54" s="7">
        <v>445</v>
      </c>
      <c r="G54" s="8">
        <v>18.72</v>
      </c>
      <c r="H54" s="6" t="s">
        <v>153</v>
      </c>
      <c r="I54" s="9" t="str">
        <f>HYPERLINK("https://www.tienda-institutpaulofreire.com/bpf33.html","Ver ficha")</f>
        <v>Ver ficha</v>
      </c>
      <c r="J54" s="9" t="str">
        <f>HYPERLINK("https://www.tienda-institutpaulofreire.com/images/bpf/33.png","Ver portada")</f>
        <v>Ver portada</v>
      </c>
    </row>
    <row r="55" ht="21" customHeight="1">
      <c r="A55" s="10" t="s">
        <v>154</v>
      </c>
      <c r="B55" s="10" t="s">
        <v>155</v>
      </c>
      <c r="C55" s="11" t="s">
        <v>69</v>
      </c>
      <c r="D55" s="12" t="s">
        <v>70</v>
      </c>
      <c r="E55" s="12"/>
      <c r="F55" s="13">
        <v>217</v>
      </c>
      <c r="G55" s="14">
        <v>18.72</v>
      </c>
      <c r="H55" s="12" t="s">
        <v>156</v>
      </c>
      <c r="I55" s="15" t="str">
        <f>HYPERLINK("https://www.tienda-institutpaulofreire.com/bpf34.html","Ver ficha")</f>
        <v>Ver ficha</v>
      </c>
      <c r="J55" s="15" t="str">
        <f>HYPERLINK("https://www.tienda-institutpaulofreire.com/images/bpf/34.png","Ver portada")</f>
        <v>Ver portada</v>
      </c>
    </row>
    <row r="56" ht="36" customHeight="1">
      <c r="A56" s="4" t="s">
        <v>157</v>
      </c>
      <c r="B56" s="4" t="s">
        <v>158</v>
      </c>
      <c r="C56" s="5" t="s">
        <v>69</v>
      </c>
      <c r="D56" s="6" t="s">
        <v>70</v>
      </c>
      <c r="E56" s="6"/>
      <c r="F56" s="7">
        <v>360</v>
      </c>
      <c r="G56" s="8">
        <v>18.72</v>
      </c>
      <c r="H56" s="6" t="s">
        <v>159</v>
      </c>
      <c r="I56" s="9" t="str">
        <f>HYPERLINK("https://www.tienda-institutpaulofreire.com/bpf35.html","Ver ficha")</f>
        <v>Ver ficha</v>
      </c>
      <c r="J56" s="9" t="str">
        <f>HYPERLINK("https://www.tienda-institutpaulofreire.com/images/bpf/35.png","Ver portada")</f>
        <v>Ver portada</v>
      </c>
    </row>
    <row r="57" ht="36" customHeight="1">
      <c r="A57" s="10" t="s">
        <v>160</v>
      </c>
      <c r="B57" s="10" t="s">
        <v>158</v>
      </c>
      <c r="C57" s="11" t="s">
        <v>69</v>
      </c>
      <c r="D57" s="12" t="s">
        <v>70</v>
      </c>
      <c r="E57" s="12"/>
      <c r="F57" s="13">
        <v>360</v>
      </c>
      <c r="G57" s="14">
        <v>18.72</v>
      </c>
      <c r="H57" s="12" t="s">
        <v>159</v>
      </c>
      <c r="I57" s="15" t="str">
        <f>HYPERLINK("https://www.tienda-institutpaulofreire.com/bpf36.html","Ver ficha")</f>
        <v>Ver ficha</v>
      </c>
      <c r="J57" s="15" t="str">
        <f>HYPERLINK("https://www.tienda-institutpaulofreire.com/images/bpf/36.png","Ver portada")</f>
        <v>Ver portada</v>
      </c>
    </row>
    <row r="58" ht="51" customHeight="1">
      <c r="A58" s="4" t="s">
        <v>161</v>
      </c>
      <c r="B58" s="4" t="s">
        <v>162</v>
      </c>
      <c r="C58" s="5" t="s">
        <v>69</v>
      </c>
      <c r="D58" s="6" t="s">
        <v>70</v>
      </c>
      <c r="E58" s="6"/>
      <c r="F58" s="7"/>
      <c r="G58" s="8">
        <v>15.6</v>
      </c>
      <c r="H58" s="6"/>
      <c r="I58" s="9" t="str">
        <f>HYPERLINK("https://www.tienda-institutpaulofreire.com/bpf37.html","Ver ficha")</f>
        <v>Ver ficha</v>
      </c>
      <c r="J58" s="9" t="str">
        <f>HYPERLINK("https://www.tienda-institutpaulofreire.com/images/bpf/37.png","Ver portada")</f>
        <v>Ver portada</v>
      </c>
    </row>
    <row r="59" ht="66" customHeight="1">
      <c r="A59" s="10" t="s">
        <v>163</v>
      </c>
      <c r="B59" s="10" t="s">
        <v>164</v>
      </c>
      <c r="C59" s="11" t="s">
        <v>69</v>
      </c>
      <c r="D59" s="12" t="s">
        <v>70</v>
      </c>
      <c r="E59" s="12"/>
      <c r="F59" s="13"/>
      <c r="G59" s="14">
        <v>15.6</v>
      </c>
      <c r="H59" s="12"/>
      <c r="I59" s="15" t="str">
        <f>HYPERLINK("https://www.tienda-institutpaulofreire.com/bpf38.html","Ver ficha")</f>
        <v>Ver ficha</v>
      </c>
      <c r="J59" s="15" t="str">
        <f>HYPERLINK("https://www.tienda-institutpaulofreire.com/images/bpf/38.png","Ver portada")</f>
        <v>Ver portada</v>
      </c>
    </row>
    <row r="60" ht="21" customHeight="1">
      <c r="A60" s="4" t="s">
        <v>24</v>
      </c>
      <c r="B60" s="4" t="s">
        <v>25</v>
      </c>
      <c r="C60" s="5" t="s">
        <v>165</v>
      </c>
      <c r="D60" s="6" t="s">
        <v>13</v>
      </c>
      <c r="E60" s="6">
        <v>2003</v>
      </c>
      <c r="F60" s="7">
        <v>232</v>
      </c>
      <c r="G60" s="8">
        <v>9.36</v>
      </c>
      <c r="H60" s="6" t="s">
        <v>26</v>
      </c>
      <c r="I60" s="9" t="str">
        <f>HYPERLINK("https://www.tienda-institutpaulofreire.com/coediciones01.html","Ver ficha")</f>
        <v>Ver ficha</v>
      </c>
      <c r="J60" s="9" t="str">
        <f>HYPERLINK("https://www.tienda-institutpaulofreire.com/images/coediciones/coe001.png","Ver portada")</f>
        <v>Ver portada</v>
      </c>
    </row>
    <row r="61" ht="21" customHeight="1">
      <c r="A61" s="10" t="s">
        <v>166</v>
      </c>
      <c r="B61" s="10" t="s">
        <v>167</v>
      </c>
      <c r="C61" s="11" t="s">
        <v>165</v>
      </c>
      <c r="D61" s="12" t="s">
        <v>13</v>
      </c>
      <c r="E61" s="12">
        <v>2002</v>
      </c>
      <c r="F61" s="13">
        <v>133</v>
      </c>
      <c r="G61" s="14">
        <v>9.36</v>
      </c>
      <c r="H61" s="12" t="s">
        <v>168</v>
      </c>
      <c r="I61" s="15" t="str">
        <f>HYPERLINK("https://www.tienda-institutpaulofreire.com/coediciones02.html","Ver ficha")</f>
        <v>Ver ficha</v>
      </c>
      <c r="J61" s="15" t="str">
        <f>HYPERLINK("https://www.tienda-institutpaulofreire.com/images/coediciones/coe002.png","Ver portada")</f>
        <v>Ver portada</v>
      </c>
    </row>
    <row r="62" ht="21" customHeight="1">
      <c r="A62" s="4" t="s">
        <v>169</v>
      </c>
      <c r="B62" s="4" t="s">
        <v>145</v>
      </c>
      <c r="C62" s="5" t="s">
        <v>165</v>
      </c>
      <c r="D62" s="6" t="s">
        <v>70</v>
      </c>
      <c r="E62" s="6">
        <v>2002</v>
      </c>
      <c r="F62" s="7">
        <v>88</v>
      </c>
      <c r="G62" s="8">
        <v>18.72</v>
      </c>
      <c r="H62" s="6" t="s">
        <v>170</v>
      </c>
      <c r="I62" s="9" t="str">
        <f>HYPERLINK("https://www.tienda-institutpaulofreire.com/coediciones03.html","Ver ficha")</f>
        <v>Ver ficha</v>
      </c>
      <c r="J62" s="9" t="str">
        <f>HYPERLINK("https://www.tienda-institutpaulofreire.com/images/coediciones/coe003.png","Ver portada")</f>
        <v>Ver portada</v>
      </c>
    </row>
    <row r="63" ht="21" customHeight="1">
      <c r="A63" s="10" t="s">
        <v>171</v>
      </c>
      <c r="B63" s="10" t="s">
        <v>121</v>
      </c>
      <c r="C63" s="11" t="s">
        <v>165</v>
      </c>
      <c r="D63" s="12" t="s">
        <v>70</v>
      </c>
      <c r="E63" s="12">
        <v>2003</v>
      </c>
      <c r="F63" s="13">
        <v>216</v>
      </c>
      <c r="G63" s="14">
        <v>18.72</v>
      </c>
      <c r="H63" s="12" t="s">
        <v>172</v>
      </c>
      <c r="I63" s="15" t="str">
        <f>HYPERLINK("https://www.tienda-institutpaulofreire.com/coediciones04.html","Ver ficha")</f>
        <v>Ver ficha</v>
      </c>
      <c r="J63" s="15" t="str">
        <f>HYPERLINK("https://www.tienda-institutpaulofreire.com/images/coediciones/coe004.png","Ver portada")</f>
        <v>Ver portada</v>
      </c>
    </row>
    <row r="64" ht="21" customHeight="1">
      <c r="A64" s="4" t="s">
        <v>173</v>
      </c>
      <c r="B64" s="4" t="s">
        <v>174</v>
      </c>
      <c r="C64" s="5" t="s">
        <v>165</v>
      </c>
      <c r="D64" s="6" t="s">
        <v>70</v>
      </c>
      <c r="E64" s="6">
        <v>2003</v>
      </c>
      <c r="F64" s="7">
        <v>147</v>
      </c>
      <c r="G64" s="8">
        <v>18.72</v>
      </c>
      <c r="H64" s="6" t="s">
        <v>175</v>
      </c>
      <c r="I64" s="9" t="str">
        <f>HYPERLINK("https://www.tienda-institutpaulofreire.com/coediciones05.html","Ver ficha")</f>
        <v>Ver ficha</v>
      </c>
      <c r="J64" s="9" t="str">
        <f>HYPERLINK("https://www.tienda-institutpaulofreire.com/images/coediciones/coe005.png","Ver portada")</f>
        <v>Ver portada</v>
      </c>
    </row>
    <row r="65" ht="21" customHeight="1">
      <c r="A65" s="10" t="s">
        <v>176</v>
      </c>
      <c r="B65" s="10" t="s">
        <v>60</v>
      </c>
      <c r="C65" s="11" t="s">
        <v>165</v>
      </c>
      <c r="D65" s="12" t="s">
        <v>70</v>
      </c>
      <c r="E65" s="12">
        <v>2004</v>
      </c>
      <c r="F65" s="13">
        <v>100</v>
      </c>
      <c r="G65" s="14">
        <v>18.72</v>
      </c>
      <c r="H65" s="12" t="s">
        <v>177</v>
      </c>
      <c r="I65" s="15" t="str">
        <f>HYPERLINK("https://www.tienda-institutpaulofreire.com/coediciones06.html","Ver ficha")</f>
        <v>Ver ficha</v>
      </c>
      <c r="J65" s="15" t="str">
        <f>HYPERLINK("https://www.tienda-institutpaulofreire.com/images/coediciones/coe006.png","Ver portada")</f>
        <v>Ver portada</v>
      </c>
    </row>
    <row r="66" ht="21" customHeight="1">
      <c r="A66" s="4" t="s">
        <v>178</v>
      </c>
      <c r="B66" s="4" t="s">
        <v>179</v>
      </c>
      <c r="C66" s="5" t="s">
        <v>165</v>
      </c>
      <c r="D66" s="6" t="s">
        <v>70</v>
      </c>
      <c r="E66" s="6">
        <v>2004</v>
      </c>
      <c r="F66" s="7">
        <v>99</v>
      </c>
      <c r="G66" s="8">
        <v>18.72</v>
      </c>
      <c r="H66" s="6" t="s">
        <v>180</v>
      </c>
      <c r="I66" s="9" t="str">
        <f>HYPERLINK("https://www.tienda-institutpaulofreire.com/coediciones07.html","Ver ficha")</f>
        <v>Ver ficha</v>
      </c>
      <c r="J66" s="9" t="str">
        <f>HYPERLINK("https://www.tienda-institutpaulofreire.com/images/coediciones/coe007.png","Ver portada")</f>
        <v>Ver portada</v>
      </c>
    </row>
    <row r="67" ht="21" customHeight="1">
      <c r="A67" s="10" t="s">
        <v>181</v>
      </c>
      <c r="B67" s="10" t="s">
        <v>167</v>
      </c>
      <c r="C67" s="11" t="s">
        <v>165</v>
      </c>
      <c r="D67" s="12" t="s">
        <v>13</v>
      </c>
      <c r="E67" s="12">
        <v>2004</v>
      </c>
      <c r="F67" s="13">
        <v>98</v>
      </c>
      <c r="G67" s="14">
        <v>9.36</v>
      </c>
      <c r="H67" s="12" t="s">
        <v>182</v>
      </c>
      <c r="I67" s="15" t="str">
        <f>HYPERLINK("https://www.tienda-institutpaulofreire.com/coediciones08.html","Ver ficha")</f>
        <v>Ver ficha</v>
      </c>
      <c r="J67" s="15" t="str">
        <f>HYPERLINK("https://www.tienda-institutpaulofreire.com/images/coediciones/coe008.png","Ver portada")</f>
        <v>Ver portada</v>
      </c>
    </row>
    <row r="68" ht="21" customHeight="1">
      <c r="A68" s="4" t="s">
        <v>183</v>
      </c>
      <c r="B68" s="4" t="s">
        <v>25</v>
      </c>
      <c r="C68" s="5" t="s">
        <v>165</v>
      </c>
      <c r="D68" s="6" t="s">
        <v>70</v>
      </c>
      <c r="E68" s="6">
        <v>2004</v>
      </c>
      <c r="F68" s="7">
        <v>204</v>
      </c>
      <c r="G68" s="8">
        <v>18.72</v>
      </c>
      <c r="H68" s="6" t="s">
        <v>184</v>
      </c>
      <c r="I68" s="9" t="str">
        <f>HYPERLINK("https://www.tienda-institutpaulofreire.com/coediciones09.html","Ver ficha")</f>
        <v>Ver ficha</v>
      </c>
      <c r="J68" s="9" t="str">
        <f>HYPERLINK("https://www.tienda-institutpaulofreire.com/images/coediciones/coe009.png","Ver portada")</f>
        <v>Ver portada</v>
      </c>
    </row>
    <row r="69" ht="36" customHeight="1">
      <c r="A69" s="10" t="s">
        <v>185</v>
      </c>
      <c r="B69" s="10" t="s">
        <v>40</v>
      </c>
      <c r="C69" s="11" t="s">
        <v>165</v>
      </c>
      <c r="D69" s="12" t="s">
        <v>70</v>
      </c>
      <c r="E69" s="12">
        <v>2005</v>
      </c>
      <c r="F69" s="13">
        <v>183</v>
      </c>
      <c r="G69" s="14">
        <v>9.36</v>
      </c>
      <c r="H69" s="12" t="s">
        <v>186</v>
      </c>
      <c r="I69" s="15" t="str">
        <f>HYPERLINK("https://www.tienda-institutpaulofreire.com/coediciones10.html","Ver ficha")</f>
        <v>Ver ficha</v>
      </c>
      <c r="J69" s="15" t="str">
        <f>HYPERLINK("https://www.tienda-institutpaulofreire.com/images/coediciones/coe010.png","Ver portada")</f>
        <v>Ver portada</v>
      </c>
    </row>
    <row r="70" ht="36" customHeight="1">
      <c r="A70" s="4" t="s">
        <v>187</v>
      </c>
      <c r="B70" s="4" t="s">
        <v>188</v>
      </c>
      <c r="C70" s="5" t="s">
        <v>165</v>
      </c>
      <c r="D70" s="6" t="s">
        <v>13</v>
      </c>
      <c r="E70" s="6">
        <v>2004</v>
      </c>
      <c r="F70" s="7">
        <v>227</v>
      </c>
      <c r="G70" s="8">
        <v>9.36</v>
      </c>
      <c r="H70" s="6" t="s">
        <v>189</v>
      </c>
      <c r="I70" s="9" t="str">
        <f>HYPERLINK("https://www.tienda-institutpaulofreire.com/coediciones11.html","Ver ficha")</f>
        <v>Ver ficha</v>
      </c>
      <c r="J70" s="9" t="str">
        <f>HYPERLINK("https://www.tienda-institutpaulofreire.com/images/coediciones/coe011.png","Ver portada")</f>
        <v>Ver portada</v>
      </c>
    </row>
    <row r="71" ht="36" customHeight="1">
      <c r="A71" s="10" t="s">
        <v>190</v>
      </c>
      <c r="B71" s="10" t="s">
        <v>191</v>
      </c>
      <c r="C71" s="11" t="s">
        <v>165</v>
      </c>
      <c r="D71" s="12" t="s">
        <v>13</v>
      </c>
      <c r="E71" s="12">
        <v>2005</v>
      </c>
      <c r="F71" s="13">
        <v>145</v>
      </c>
      <c r="G71" s="14">
        <v>9.36</v>
      </c>
      <c r="H71" s="12" t="s">
        <v>192</v>
      </c>
      <c r="I71" s="15" t="str">
        <f>HYPERLINK("https://www.tienda-institutpaulofreire.com/coediciones12.html","Ver ficha")</f>
        <v>Ver ficha</v>
      </c>
      <c r="J71" s="15" t="str">
        <f>HYPERLINK("https://www.tienda-institutpaulofreire.com/images/coediciones/coe012.png","Ver portada")</f>
        <v>Ver portada</v>
      </c>
    </row>
    <row r="72" ht="21" customHeight="1">
      <c r="A72" s="4" t="s">
        <v>193</v>
      </c>
      <c r="B72" s="4" t="s">
        <v>40</v>
      </c>
      <c r="C72" s="5" t="s">
        <v>165</v>
      </c>
      <c r="D72" s="6" t="s">
        <v>13</v>
      </c>
      <c r="E72" s="6">
        <v>2006</v>
      </c>
      <c r="F72" s="7">
        <v>197</v>
      </c>
      <c r="G72" s="8">
        <v>9.36</v>
      </c>
      <c r="H72" s="6" t="s">
        <v>41</v>
      </c>
      <c r="I72" s="9" t="str">
        <f>HYPERLINK("https://www.tienda-institutpaulofreire.com/coediciones13.html","Ver ficha")</f>
        <v>Ver ficha</v>
      </c>
      <c r="J72" s="9" t="str">
        <f>HYPERLINK("https://www.tienda-institutpaulofreire.com/images/coediciones/coe013.png","Ver portada")</f>
        <v>Ver portada</v>
      </c>
    </row>
    <row r="73" ht="21" customHeight="1">
      <c r="A73" s="10" t="s">
        <v>194</v>
      </c>
      <c r="B73" s="10" t="s">
        <v>195</v>
      </c>
      <c r="C73" s="11" t="s">
        <v>165</v>
      </c>
      <c r="D73" s="12" t="s">
        <v>13</v>
      </c>
      <c r="E73" s="12">
        <v>2006</v>
      </c>
      <c r="F73" s="13">
        <v>151</v>
      </c>
      <c r="G73" s="14">
        <v>9.36</v>
      </c>
      <c r="H73" s="12" t="s">
        <v>196</v>
      </c>
      <c r="I73" s="15" t="str">
        <f>HYPERLINK("https://www.tienda-institutpaulofreire.com/coediciones14.html","Ver ficha")</f>
        <v>Ver ficha</v>
      </c>
      <c r="J73" s="15" t="str">
        <f>HYPERLINK("https://www.tienda-institutpaulofreire.com/images/coediciones/coe014.png","Ver portada")</f>
        <v>Ver portada</v>
      </c>
    </row>
    <row r="74" ht="51" customHeight="1">
      <c r="A74" s="4" t="s">
        <v>197</v>
      </c>
      <c r="B74" s="4" t="s">
        <v>198</v>
      </c>
      <c r="C74" s="5" t="s">
        <v>165</v>
      </c>
      <c r="D74" s="6" t="s">
        <v>199</v>
      </c>
      <c r="E74" s="6">
        <v>2007</v>
      </c>
      <c r="F74" s="7"/>
      <c r="G74" s="8">
        <v>18.72</v>
      </c>
      <c r="H74" s="6" t="s">
        <v>200</v>
      </c>
      <c r="I74" s="9" t="str">
        <f>HYPERLINK("https://www.tienda-institutpaulofreire.com/coediciones15.html","Ver ficha")</f>
        <v>Ver ficha</v>
      </c>
      <c r="J74" s="9" t="str">
        <f>HYPERLINK("https://www.tienda-institutpaulofreire.com/images/coediciones/coe015.png","Ver portada")</f>
        <v>Ver portada</v>
      </c>
    </row>
    <row r="75" ht="51" customHeight="1">
      <c r="A75" s="10" t="s">
        <v>201</v>
      </c>
      <c r="B75" s="10" t="s">
        <v>198</v>
      </c>
      <c r="C75" s="11" t="s">
        <v>165</v>
      </c>
      <c r="D75" s="12" t="s">
        <v>199</v>
      </c>
      <c r="E75" s="12">
        <v>2007</v>
      </c>
      <c r="F75" s="13"/>
      <c r="G75" s="14">
        <v>18.72</v>
      </c>
      <c r="H75" s="12" t="s">
        <v>200</v>
      </c>
      <c r="I75" s="15" t="str">
        <f>HYPERLINK("https://www.tienda-institutpaulofreire.com/coediciones16.html","Ver ficha")</f>
        <v>Ver ficha</v>
      </c>
      <c r="J75" s="15" t="str">
        <f>HYPERLINK("https://www.tienda-institutpaulofreire.com/images/coediciones/coe016.png","Ver portada")</f>
        <v>Ver portada</v>
      </c>
    </row>
    <row r="76" ht="51" customHeight="1">
      <c r="A76" s="4" t="s">
        <v>202</v>
      </c>
      <c r="B76" s="4" t="s">
        <v>198</v>
      </c>
      <c r="C76" s="5" t="s">
        <v>165</v>
      </c>
      <c r="D76" s="6" t="s">
        <v>199</v>
      </c>
      <c r="E76" s="6">
        <v>2007</v>
      </c>
      <c r="F76" s="7"/>
      <c r="G76" s="8">
        <v>18.72</v>
      </c>
      <c r="H76" s="6" t="s">
        <v>200</v>
      </c>
      <c r="I76" s="9" t="str">
        <f>HYPERLINK("https://www.tienda-institutpaulofreire.com/coediciones17.html","Ver ficha")</f>
        <v>Ver ficha</v>
      </c>
      <c r="J76" s="9" t="str">
        <f>HYPERLINK("https://www.tienda-institutpaulofreire.com/images/coediciones/coe017.png","Ver portada")</f>
        <v>Ver portada</v>
      </c>
    </row>
    <row r="77" ht="36" customHeight="1">
      <c r="A77" s="10" t="s">
        <v>203</v>
      </c>
      <c r="B77" s="10" t="s">
        <v>43</v>
      </c>
      <c r="C77" s="11" t="s">
        <v>165</v>
      </c>
      <c r="D77" s="12" t="s">
        <v>70</v>
      </c>
      <c r="E77" s="12">
        <v>2007</v>
      </c>
      <c r="F77" s="13">
        <v>221</v>
      </c>
      <c r="G77" s="14">
        <v>18.72</v>
      </c>
      <c r="H77" s="12" t="s">
        <v>44</v>
      </c>
      <c r="I77" s="15" t="str">
        <f>HYPERLINK("https://www.tienda-institutpaulofreire.com/coediciones18.html","Ver ficha")</f>
        <v>Ver ficha</v>
      </c>
      <c r="J77" s="15" t="str">
        <f>HYPERLINK("https://www.tienda-institutpaulofreire.com/images/coediciones/coe018.png","Ver portada")</f>
        <v>Ver portada</v>
      </c>
    </row>
    <row r="78" ht="36" customHeight="1">
      <c r="A78" s="4" t="s">
        <v>204</v>
      </c>
      <c r="B78" s="4" t="s">
        <v>205</v>
      </c>
      <c r="C78" s="5" t="s">
        <v>165</v>
      </c>
      <c r="D78" s="6" t="s">
        <v>13</v>
      </c>
      <c r="E78" s="6">
        <v>2008</v>
      </c>
      <c r="F78" s="7">
        <v>126</v>
      </c>
      <c r="G78" s="8">
        <v>18.72</v>
      </c>
      <c r="H78" s="6" t="s">
        <v>206</v>
      </c>
      <c r="I78" s="9" t="str">
        <f>HYPERLINK("https://www.tienda-institutpaulofreire.com/coediciones19.html","Ver ficha")</f>
        <v>Ver ficha</v>
      </c>
      <c r="J78" s="9" t="str">
        <f>HYPERLINK("https://www.tienda-institutpaulofreire.com/images/coediciones/coe019.png","Ver portada")</f>
        <v>Ver portada</v>
      </c>
    </row>
    <row r="79" ht="36" customHeight="1">
      <c r="A79" s="10" t="s">
        <v>207</v>
      </c>
      <c r="B79" s="10" t="s">
        <v>46</v>
      </c>
      <c r="C79" s="11" t="s">
        <v>165</v>
      </c>
      <c r="D79" s="12" t="s">
        <v>13</v>
      </c>
      <c r="E79" s="12">
        <v>2008</v>
      </c>
      <c r="F79" s="13">
        <v>317</v>
      </c>
      <c r="G79" s="14">
        <v>9.36</v>
      </c>
      <c r="H79" s="12" t="s">
        <v>47</v>
      </c>
      <c r="I79" s="15" t="str">
        <f>HYPERLINK("https://www.tienda-institutpaulofreire.com/coediciones20.html","Ver ficha")</f>
        <v>Ver ficha</v>
      </c>
      <c r="J79" s="15" t="str">
        <f>HYPERLINK("https://www.tienda-institutpaulofreire.com/images/coediciones/coe020.png","Ver portada")</f>
        <v>Ver portada</v>
      </c>
    </row>
    <row r="80" ht="66" customHeight="1">
      <c r="A80" s="4" t="s">
        <v>208</v>
      </c>
      <c r="B80" s="4" t="s">
        <v>209</v>
      </c>
      <c r="C80" s="5" t="s">
        <v>165</v>
      </c>
      <c r="D80" s="6" t="s">
        <v>70</v>
      </c>
      <c r="E80" s="6">
        <v>2009</v>
      </c>
      <c r="F80" s="7">
        <v>72</v>
      </c>
      <c r="G80" s="8">
        <v>13.52</v>
      </c>
      <c r="H80" s="6" t="s">
        <v>210</v>
      </c>
      <c r="I80" s="9" t="str">
        <f>HYPERLINK("https://www.tienda-institutpaulofreire.com/coediciones21.html","Ver ficha")</f>
        <v>Ver ficha</v>
      </c>
      <c r="J80" s="9" t="str">
        <f>HYPERLINK("https://www.tienda-institutpaulofreire.com/images/coediciones/coe021.png","Ver portada")</f>
        <v>Ver portada</v>
      </c>
    </row>
    <row r="81" ht="21" customHeight="1">
      <c r="A81" s="10" t="s">
        <v>48</v>
      </c>
      <c r="B81" s="10" t="s">
        <v>49</v>
      </c>
      <c r="C81" s="11" t="s">
        <v>165</v>
      </c>
      <c r="D81" s="12" t="s">
        <v>13</v>
      </c>
      <c r="E81" s="12">
        <v>2009</v>
      </c>
      <c r="F81" s="13">
        <v>238</v>
      </c>
      <c r="G81" s="14">
        <v>9.36</v>
      </c>
      <c r="H81" s="12" t="s">
        <v>50</v>
      </c>
      <c r="I81" s="15" t="str">
        <f>HYPERLINK("https://www.tienda-institutpaulofreire.com/coediciones22.html","Ver ficha")</f>
        <v>Ver ficha</v>
      </c>
      <c r="J81" s="15" t="str">
        <f>HYPERLINK("https://www.tienda-institutpaulofreire.com/images/coediciones/coe022.png","Ver portada")</f>
        <v>Ver portada</v>
      </c>
    </row>
    <row r="82" ht="21" customHeight="1">
      <c r="A82" s="4" t="s">
        <v>211</v>
      </c>
      <c r="B82" s="4" t="s">
        <v>52</v>
      </c>
      <c r="C82" s="5" t="s">
        <v>165</v>
      </c>
      <c r="D82" s="6" t="s">
        <v>13</v>
      </c>
      <c r="E82" s="6">
        <v>2010</v>
      </c>
      <c r="F82" s="7">
        <v>276</v>
      </c>
      <c r="G82" s="8">
        <v>9.36</v>
      </c>
      <c r="H82" s="6" t="s">
        <v>53</v>
      </c>
      <c r="I82" s="9" t="str">
        <f>HYPERLINK("https://www.tienda-institutpaulofreire.com/coediciones23.html","Ver ficha")</f>
        <v>Ver ficha</v>
      </c>
      <c r="J82" s="9" t="str">
        <f>HYPERLINK("https://www.tienda-institutpaulofreire.com/images/coediciones/coe023.png","Ver portada")</f>
        <v>Ver portada</v>
      </c>
    </row>
    <row r="83" ht="36" customHeight="1">
      <c r="A83" s="10" t="s">
        <v>212</v>
      </c>
      <c r="B83" s="10" t="s">
        <v>213</v>
      </c>
      <c r="C83" s="11" t="s">
        <v>165</v>
      </c>
      <c r="D83" s="12" t="s">
        <v>13</v>
      </c>
      <c r="E83" s="12">
        <v>2010</v>
      </c>
      <c r="F83" s="13">
        <v>281</v>
      </c>
      <c r="G83" s="14">
        <v>9.36</v>
      </c>
      <c r="H83" s="12" t="s">
        <v>214</v>
      </c>
      <c r="I83" s="15" t="str">
        <f>HYPERLINK("https://www.tienda-institutpaulofreire.com/coediciones24.html","Ver ficha")</f>
        <v>Ver ficha</v>
      </c>
      <c r="J83" s="15" t="str">
        <f>HYPERLINK("https://www.tienda-institutpaulofreire.com/images/coediciones/coe024.png","Ver portada")</f>
        <v>Ver portada</v>
      </c>
    </row>
    <row r="84" ht="21" customHeight="1">
      <c r="A84" s="4" t="s">
        <v>215</v>
      </c>
      <c r="B84" s="4" t="s">
        <v>216</v>
      </c>
      <c r="C84" s="5" t="s">
        <v>165</v>
      </c>
      <c r="D84" s="6" t="s">
        <v>13</v>
      </c>
      <c r="E84" s="6">
        <v>2010</v>
      </c>
      <c r="F84" s="7">
        <v>230</v>
      </c>
      <c r="G84" s="8">
        <v>18.72</v>
      </c>
      <c r="H84" s="6" t="s">
        <v>217</v>
      </c>
      <c r="I84" s="9" t="str">
        <f>HYPERLINK("https://www.tienda-institutpaulofreire.com/coediciones25.html","Ver ficha")</f>
        <v>Ver ficha</v>
      </c>
      <c r="J84" s="9" t="str">
        <f>HYPERLINK("https://www.tienda-institutpaulofreire.com/images/coediciones/coe025.png","Ver portada")</f>
        <v>Ver portada</v>
      </c>
    </row>
    <row r="85" ht="36" customHeight="1">
      <c r="A85" s="10" t="s">
        <v>218</v>
      </c>
      <c r="B85" s="10" t="s">
        <v>219</v>
      </c>
      <c r="C85" s="11" t="s">
        <v>165</v>
      </c>
      <c r="D85" s="12" t="s">
        <v>13</v>
      </c>
      <c r="E85" s="12">
        <v>2010</v>
      </c>
      <c r="F85" s="13"/>
      <c r="G85" s="14">
        <v>18.72</v>
      </c>
      <c r="H85" s="12" t="s">
        <v>220</v>
      </c>
      <c r="I85" s="15" t="str">
        <f>HYPERLINK("https://www.tienda-institutpaulofreire.com/coediciones26.html","Ver ficha")</f>
        <v>Ver ficha</v>
      </c>
      <c r="J85" s="15" t="str">
        <f>HYPERLINK("https://www.tienda-institutpaulofreire.com/images/coediciones/coe026.png","Ver portada")</f>
        <v>Ver portada</v>
      </c>
    </row>
    <row r="86" ht="21" customHeight="1">
      <c r="A86" s="4" t="s">
        <v>221</v>
      </c>
      <c r="B86" s="4" t="s">
        <v>222</v>
      </c>
      <c r="C86" s="5" t="s">
        <v>165</v>
      </c>
      <c r="D86" s="6" t="s">
        <v>13</v>
      </c>
      <c r="E86" s="6">
        <v>2011</v>
      </c>
      <c r="F86" s="7">
        <v>125</v>
      </c>
      <c r="G86" s="8">
        <v>9.36</v>
      </c>
      <c r="H86" s="6" t="s">
        <v>223</v>
      </c>
      <c r="I86" s="9" t="str">
        <f>HYPERLINK("https://www.tienda-institutpaulofreire.com/coediciones27.html","Ver ficha")</f>
        <v>Ver ficha</v>
      </c>
      <c r="J86" s="9" t="str">
        <f>HYPERLINK("https://www.tienda-institutpaulofreire.com/images/coediciones/coe027.png","Ver portada")</f>
        <v>Ver portada</v>
      </c>
    </row>
    <row r="87" ht="36" customHeight="1">
      <c r="A87" s="10" t="s">
        <v>224</v>
      </c>
      <c r="B87" s="10" t="s">
        <v>225</v>
      </c>
      <c r="C87" s="11" t="s">
        <v>165</v>
      </c>
      <c r="D87" s="12" t="s">
        <v>13</v>
      </c>
      <c r="E87" s="12">
        <v>2011</v>
      </c>
      <c r="F87" s="13"/>
      <c r="G87" s="14">
        <v>10.4</v>
      </c>
      <c r="H87" s="12" t="s">
        <v>226</v>
      </c>
      <c r="I87" s="15" t="str">
        <f>HYPERLINK("https://www.tienda-institutpaulofreire.com/coediciones28.html","Ver ficha")</f>
        <v>Ver ficha</v>
      </c>
      <c r="J87" s="15" t="str">
        <f>HYPERLINK("https://www.tienda-institutpaulofreire.com/images/coediciones/coe028.png","Ver portada")</f>
        <v>Ver portada</v>
      </c>
    </row>
    <row r="88" ht="21" customHeight="1">
      <c r="A88" s="4" t="s">
        <v>227</v>
      </c>
      <c r="B88" s="4" t="s">
        <v>60</v>
      </c>
      <c r="C88" s="5" t="s">
        <v>165</v>
      </c>
      <c r="D88" s="6" t="s">
        <v>13</v>
      </c>
      <c r="E88" s="6"/>
      <c r="F88" s="7"/>
      <c r="G88" s="8">
        <v>9.36</v>
      </c>
      <c r="H88" s="6"/>
      <c r="I88" s="9" t="str">
        <f>HYPERLINK("https://www.tienda-institutpaulofreire.com/coediciones29.html","Ver ficha")</f>
        <v>Ver ficha</v>
      </c>
      <c r="J88" s="9" t="str">
        <f>HYPERLINK("https://www.tienda-institutpaulofreire.com/images/coediciones/coe029.png","Ver portada")</f>
        <v>Ver portada</v>
      </c>
    </row>
    <row r="89" ht="36" customHeight="1">
      <c r="A89" s="10" t="s">
        <v>228</v>
      </c>
      <c r="B89" s="10" t="s">
        <v>229</v>
      </c>
      <c r="C89" s="11" t="s">
        <v>165</v>
      </c>
      <c r="D89" s="12" t="s">
        <v>13</v>
      </c>
      <c r="E89" s="12"/>
      <c r="F89" s="13"/>
      <c r="G89" s="14">
        <v>10.4</v>
      </c>
      <c r="H89" s="12"/>
      <c r="I89" s="15" t="str">
        <f>HYPERLINK("https://www.tienda-institutpaulofreire.com/coediciones30.html","Ver ficha")</f>
        <v>Ver ficha</v>
      </c>
      <c r="J89" s="15" t="str">
        <f>HYPERLINK("https://www.tienda-institutpaulofreire.com/images/coediciones/coe030.png","Ver portada")</f>
        <v>Ver portada</v>
      </c>
    </row>
    <row r="90" ht="36" customHeight="1">
      <c r="A90" s="4" t="s">
        <v>230</v>
      </c>
      <c r="B90" s="4" t="s">
        <v>231</v>
      </c>
      <c r="C90" s="5" t="s">
        <v>165</v>
      </c>
      <c r="D90" s="6" t="s">
        <v>13</v>
      </c>
      <c r="E90" s="6"/>
      <c r="F90" s="7"/>
      <c r="G90" s="8">
        <v>15.6</v>
      </c>
      <c r="H90" s="6" t="s">
        <v>232</v>
      </c>
      <c r="I90" s="9" t="str">
        <f>HYPERLINK("https://www.tienda-institutpaulofreire.com/coediciones31.html","Ver ficha")</f>
        <v>Ver ficha</v>
      </c>
      <c r="J90" s="9" t="str">
        <f>HYPERLINK("https://www.tienda-institutpaulofreire.com/images/coediciones/coe031.jpg","Ver portada")</f>
        <v>Ver portada</v>
      </c>
    </row>
    <row r="91" ht="36" customHeight="1">
      <c r="A91" s="10" t="s">
        <v>233</v>
      </c>
      <c r="B91" s="10" t="s">
        <v>234</v>
      </c>
      <c r="C91" s="11" t="s">
        <v>235</v>
      </c>
      <c r="D91" s="12" t="s">
        <v>70</v>
      </c>
      <c r="E91" s="12">
        <v>2001</v>
      </c>
      <c r="F91" s="13">
        <v>142</v>
      </c>
      <c r="G91" s="14">
        <v>9.36</v>
      </c>
      <c r="H91" s="12" t="s">
        <v>236</v>
      </c>
      <c r="I91" s="15" t="str">
        <f>HYPERLINK("https://www.tienda-institutpaulofreire.com/estudis01.html","Ver ficha")</f>
        <v>Ver ficha</v>
      </c>
      <c r="J91" s="15" t="str">
        <f>HYPERLINK("https://www.tienda-institutpaulofreire.com/images/c_estudis/01.png","Ver portada")</f>
        <v>Ver portada</v>
      </c>
    </row>
    <row r="92" ht="21" customHeight="1">
      <c r="A92" s="4" t="s">
        <v>237</v>
      </c>
      <c r="B92" s="4" t="s">
        <v>238</v>
      </c>
      <c r="C92" s="5" t="s">
        <v>235</v>
      </c>
      <c r="D92" s="6" t="s">
        <v>70</v>
      </c>
      <c r="E92" s="6">
        <v>2001</v>
      </c>
      <c r="F92" s="7">
        <v>230</v>
      </c>
      <c r="G92" s="8">
        <v>9.36</v>
      </c>
      <c r="H92" s="6" t="s">
        <v>239</v>
      </c>
      <c r="I92" s="9" t="str">
        <f>HYPERLINK("https://www.tienda-institutpaulofreire.com/estudis02.html","Ver ficha")</f>
        <v>Ver ficha</v>
      </c>
      <c r="J92" s="9" t="str">
        <f>HYPERLINK("https://www.tienda-institutpaulofreire.com/images/c_estudis/02.png","Ver portada")</f>
        <v>Ver portada</v>
      </c>
    </row>
    <row r="93" ht="21" customHeight="1">
      <c r="A93" s="10" t="s">
        <v>240</v>
      </c>
      <c r="B93" s="10" t="s">
        <v>241</v>
      </c>
      <c r="C93" s="11" t="s">
        <v>235</v>
      </c>
      <c r="D93" s="12" t="s">
        <v>70</v>
      </c>
      <c r="E93" s="12">
        <v>2002</v>
      </c>
      <c r="F93" s="13">
        <v>292</v>
      </c>
      <c r="G93" s="14">
        <v>9.36</v>
      </c>
      <c r="H93" s="12" t="s">
        <v>242</v>
      </c>
      <c r="I93" s="15" t="str">
        <f>HYPERLINK("https://www.tienda-institutpaulofreire.com/estudis03.html","Ver ficha")</f>
        <v>Ver ficha</v>
      </c>
      <c r="J93" s="15" t="str">
        <f>HYPERLINK("https://www.tienda-institutpaulofreire.com/images/c_estudis/03.png","Ver portada")</f>
        <v>Ver portada</v>
      </c>
    </row>
    <row r="94" ht="21" customHeight="1">
      <c r="A94" s="4" t="s">
        <v>169</v>
      </c>
      <c r="B94" s="4" t="s">
        <v>145</v>
      </c>
      <c r="C94" s="5" t="s">
        <v>235</v>
      </c>
      <c r="D94" s="6" t="s">
        <v>70</v>
      </c>
      <c r="E94" s="6">
        <v>2002</v>
      </c>
      <c r="F94" s="7">
        <v>88</v>
      </c>
      <c r="G94" s="8">
        <v>9.36</v>
      </c>
      <c r="H94" s="6" t="s">
        <v>170</v>
      </c>
      <c r="I94" s="9" t="str">
        <f>HYPERLINK("https://www.tienda-institutpaulofreire.com/estudis04.html","Ver ficha")</f>
        <v>Ver ficha</v>
      </c>
      <c r="J94" s="9" t="str">
        <f>HYPERLINK("https://www.tienda-institutpaulofreire.com/images/c_estudis/04.png","Ver portada")</f>
        <v>Ver portada</v>
      </c>
    </row>
    <row r="95" ht="36" customHeight="1">
      <c r="A95" s="10" t="s">
        <v>243</v>
      </c>
      <c r="B95" s="10" t="s">
        <v>244</v>
      </c>
      <c r="C95" s="11" t="s">
        <v>235</v>
      </c>
      <c r="D95" s="12" t="s">
        <v>70</v>
      </c>
      <c r="E95" s="12">
        <v>2003</v>
      </c>
      <c r="F95" s="13">
        <v>142</v>
      </c>
      <c r="G95" s="14">
        <v>9.36</v>
      </c>
      <c r="H95" s="12" t="s">
        <v>245</v>
      </c>
      <c r="I95" s="15" t="str">
        <f>HYPERLINK("https://www.tienda-institutpaulofreire.com/estudis05.html","Ver ficha")</f>
        <v>Ver ficha</v>
      </c>
      <c r="J95" s="15" t="str">
        <f>HYPERLINK("https://www.tienda-institutpaulofreire.com/images/c_estudis/05.png","Ver portada")</f>
        <v>Ver portada</v>
      </c>
    </row>
    <row r="96" ht="21" customHeight="1">
      <c r="A96" s="4" t="s">
        <v>171</v>
      </c>
      <c r="B96" s="4" t="s">
        <v>121</v>
      </c>
      <c r="C96" s="5" t="s">
        <v>235</v>
      </c>
      <c r="D96" s="6" t="s">
        <v>70</v>
      </c>
      <c r="E96" s="6">
        <v>2003</v>
      </c>
      <c r="F96" s="7">
        <v>216</v>
      </c>
      <c r="G96" s="8">
        <v>9.36</v>
      </c>
      <c r="H96" s="6" t="s">
        <v>172</v>
      </c>
      <c r="I96" s="9" t="str">
        <f>HYPERLINK("https://www.tienda-institutpaulofreire.com/estudis06.html","Ver ficha")</f>
        <v>Ver ficha</v>
      </c>
      <c r="J96" s="9" t="str">
        <f>HYPERLINK("https://www.tienda-institutpaulofreire.com/images/c_estudis/06.png","Ver portada")</f>
        <v>Ver portada</v>
      </c>
    </row>
    <row r="97" ht="36" customHeight="1">
      <c r="A97" s="10" t="s">
        <v>246</v>
      </c>
      <c r="B97" s="10" t="s">
        <v>238</v>
      </c>
      <c r="C97" s="11" t="s">
        <v>235</v>
      </c>
      <c r="D97" s="12" t="s">
        <v>70</v>
      </c>
      <c r="E97" s="12">
        <v>2004</v>
      </c>
      <c r="F97" s="13">
        <v>327</v>
      </c>
      <c r="G97" s="14">
        <v>9.36</v>
      </c>
      <c r="H97" s="12" t="s">
        <v>247</v>
      </c>
      <c r="I97" s="15" t="str">
        <f>HYPERLINK("https://www.tienda-institutpaulofreire.com/estudis07.html","Ver ficha")</f>
        <v>Ver ficha</v>
      </c>
      <c r="J97" s="15" t="str">
        <f>HYPERLINK("https://www.tienda-institutpaulofreire.com/images/c_estudis/07.png","Ver portada")</f>
        <v>Ver portada</v>
      </c>
    </row>
    <row r="98" ht="21" customHeight="1">
      <c r="A98" s="4" t="s">
        <v>248</v>
      </c>
      <c r="B98" s="4" t="s">
        <v>179</v>
      </c>
      <c r="C98" s="5" t="s">
        <v>235</v>
      </c>
      <c r="D98" s="6" t="s">
        <v>70</v>
      </c>
      <c r="E98" s="6">
        <v>2004</v>
      </c>
      <c r="F98" s="7">
        <v>327</v>
      </c>
      <c r="G98" s="8">
        <v>9.36</v>
      </c>
      <c r="H98" s="6" t="s">
        <v>247</v>
      </c>
      <c r="I98" s="9" t="str">
        <f>HYPERLINK("https://www.tienda-institutpaulofreire.com/estudis08.html","Ver ficha")</f>
        <v>Ver ficha</v>
      </c>
      <c r="J98" s="9" t="str">
        <f>HYPERLINK("https://www.tienda-institutpaulofreire.com/images/c_estudis/08.png","Ver portada")</f>
        <v>Ver portada</v>
      </c>
    </row>
    <row r="99" ht="36" customHeight="1">
      <c r="A99" s="10" t="s">
        <v>249</v>
      </c>
      <c r="B99" s="10" t="s">
        <v>34</v>
      </c>
      <c r="C99" s="11" t="s">
        <v>235</v>
      </c>
      <c r="D99" s="12" t="s">
        <v>70</v>
      </c>
      <c r="E99" s="12"/>
      <c r="F99" s="13">
        <v>231</v>
      </c>
      <c r="G99" s="14">
        <v>9.36</v>
      </c>
      <c r="H99" s="12" t="s">
        <v>250</v>
      </c>
      <c r="I99" s="15" t="str">
        <f>HYPERLINK("https://www.tienda-institutpaulofreire.com/estudis09.html","Ver ficha")</f>
        <v>Ver ficha</v>
      </c>
      <c r="J99" s="15" t="str">
        <f>HYPERLINK("https://www.tienda-institutpaulofreire.com/images/c_estudis/09.png","Ver portada")</f>
        <v>Ver portada</v>
      </c>
    </row>
    <row r="100" ht="21" customHeight="1">
      <c r="A100" s="4" t="s">
        <v>251</v>
      </c>
      <c r="B100" s="4" t="s">
        <v>252</v>
      </c>
      <c r="C100" s="5" t="s">
        <v>235</v>
      </c>
      <c r="D100" s="6" t="s">
        <v>70</v>
      </c>
      <c r="E100" s="6">
        <v>2005</v>
      </c>
      <c r="F100" s="7">
        <v>118</v>
      </c>
      <c r="G100" s="8">
        <v>9.36</v>
      </c>
      <c r="H100" s="6" t="s">
        <v>253</v>
      </c>
      <c r="I100" s="9" t="str">
        <f>HYPERLINK("https://www.tienda-institutpaulofreire.com/estudis10.html","Ver ficha")</f>
        <v>Ver ficha</v>
      </c>
      <c r="J100" s="9" t="str">
        <f>HYPERLINK("https://www.tienda-institutpaulofreire.com/images/c_estudis/10.png","Ver portada")</f>
        <v>Ver portada</v>
      </c>
    </row>
    <row r="101" ht="36" customHeight="1">
      <c r="A101" s="10" t="s">
        <v>254</v>
      </c>
      <c r="B101" s="10" t="s">
        <v>37</v>
      </c>
      <c r="C101" s="11" t="s">
        <v>235</v>
      </c>
      <c r="D101" s="12" t="s">
        <v>70</v>
      </c>
      <c r="E101" s="12">
        <v>2006</v>
      </c>
      <c r="F101" s="13">
        <v>114</v>
      </c>
      <c r="G101" s="14">
        <v>9.36</v>
      </c>
      <c r="H101" s="12" t="s">
        <v>255</v>
      </c>
      <c r="I101" s="15" t="str">
        <f>HYPERLINK("https://www.tienda-institutpaulofreire.com/estudis11.html","Ver ficha")</f>
        <v>Ver ficha</v>
      </c>
      <c r="J101" s="15" t="str">
        <f>HYPERLINK("https://www.tienda-institutpaulofreire.com/images/c_estudis/11.png","Ver portada")</f>
        <v>Ver portada</v>
      </c>
    </row>
    <row r="102" ht="36" customHeight="1">
      <c r="A102" s="4" t="s">
        <v>256</v>
      </c>
      <c r="B102" s="4" t="s">
        <v>257</v>
      </c>
      <c r="C102" s="5" t="s">
        <v>235</v>
      </c>
      <c r="D102" s="6" t="s">
        <v>70</v>
      </c>
      <c r="E102" s="6">
        <v>2006</v>
      </c>
      <c r="F102" s="7">
        <v>182</v>
      </c>
      <c r="G102" s="8">
        <v>9.36</v>
      </c>
      <c r="H102" s="6" t="s">
        <v>258</v>
      </c>
      <c r="I102" s="9" t="str">
        <f>HYPERLINK("https://www.tienda-institutpaulofreire.com/estudis12.html","Ver ficha")</f>
        <v>Ver ficha</v>
      </c>
      <c r="J102" s="9" t="str">
        <f>HYPERLINK("https://www.tienda-institutpaulofreire.com/images/c_estudis/12.png","Ver portada")</f>
        <v>Ver portada</v>
      </c>
    </row>
    <row r="103" ht="21" customHeight="1">
      <c r="A103" s="10" t="s">
        <v>259</v>
      </c>
      <c r="B103" s="10" t="s">
        <v>260</v>
      </c>
      <c r="C103" s="11" t="s">
        <v>235</v>
      </c>
      <c r="D103" s="12" t="s">
        <v>70</v>
      </c>
      <c r="E103" s="12">
        <v>2007</v>
      </c>
      <c r="F103" s="13">
        <v>163</v>
      </c>
      <c r="G103" s="14">
        <v>9.36</v>
      </c>
      <c r="H103" s="12" t="s">
        <v>261</v>
      </c>
      <c r="I103" s="15" t="str">
        <f>HYPERLINK("https://www.tienda-institutpaulofreire.com/estudis13.html","Ver ficha")</f>
        <v>Ver ficha</v>
      </c>
      <c r="J103" s="15" t="str">
        <f>HYPERLINK("https://www.tienda-institutpaulofreire.com/images/c_estudis/13.png","Ver portada")</f>
        <v>Ver portada</v>
      </c>
    </row>
    <row r="104" ht="36" customHeight="1">
      <c r="A104" s="4" t="s">
        <v>262</v>
      </c>
      <c r="B104" s="4" t="s">
        <v>43</v>
      </c>
      <c r="C104" s="5" t="s">
        <v>235</v>
      </c>
      <c r="D104" s="6" t="s">
        <v>70</v>
      </c>
      <c r="E104" s="6">
        <v>2007</v>
      </c>
      <c r="F104" s="7">
        <v>221</v>
      </c>
      <c r="G104" s="8">
        <v>9.36</v>
      </c>
      <c r="H104" s="6" t="s">
        <v>44</v>
      </c>
      <c r="I104" s="9" t="str">
        <f>HYPERLINK("https://www.tienda-institutpaulofreire.com/estudis14.html","Ver ficha")</f>
        <v>Ver ficha</v>
      </c>
      <c r="J104" s="9" t="str">
        <f>HYPERLINK("https://www.tienda-institutpaulofreire.com/images/c_estudis/14.png","Ver portada")</f>
        <v>Ver portada</v>
      </c>
    </row>
    <row r="105" ht="36" customHeight="1">
      <c r="A105" s="10" t="s">
        <v>263</v>
      </c>
      <c r="B105" s="10" t="s">
        <v>46</v>
      </c>
      <c r="C105" s="11" t="s">
        <v>235</v>
      </c>
      <c r="D105" s="12" t="s">
        <v>70</v>
      </c>
      <c r="E105" s="12">
        <v>2008</v>
      </c>
      <c r="F105" s="13">
        <v>281</v>
      </c>
      <c r="G105" s="14">
        <v>9.36</v>
      </c>
      <c r="H105" s="12" t="s">
        <v>264</v>
      </c>
      <c r="I105" s="15" t="str">
        <f>HYPERLINK("https://www.tienda-institutpaulofreire.com/estudis15.html","Ver ficha")</f>
        <v>Ver ficha</v>
      </c>
      <c r="J105" s="15" t="str">
        <f>HYPERLINK("https://www.tienda-institutpaulofreire.com/images/c_estudis/15.png","Ver portada")</f>
        <v>Ver portada</v>
      </c>
    </row>
    <row r="106" ht="21" customHeight="1">
      <c r="A106" s="4" t="s">
        <v>265</v>
      </c>
      <c r="B106" s="4" t="s">
        <v>49</v>
      </c>
      <c r="C106" s="5" t="s">
        <v>235</v>
      </c>
      <c r="D106" s="6" t="s">
        <v>70</v>
      </c>
      <c r="E106" s="6">
        <v>2009</v>
      </c>
      <c r="F106" s="7">
        <v>214</v>
      </c>
      <c r="G106" s="8">
        <v>9.36</v>
      </c>
      <c r="H106" s="6" t="s">
        <v>266</v>
      </c>
      <c r="I106" s="9" t="str">
        <f>HYPERLINK("https://www.tienda-institutpaulofreire.com/estudis16.html","Ver ficha")</f>
        <v>Ver ficha</v>
      </c>
      <c r="J106" s="9" t="str">
        <f>HYPERLINK("https://www.tienda-institutpaulofreire.com/images/c_estudis/16.png","Ver portada")</f>
        <v>Ver portada</v>
      </c>
    </row>
    <row r="107" ht="36" customHeight="1">
      <c r="A107" s="10" t="s">
        <v>267</v>
      </c>
      <c r="B107" s="10" t="s">
        <v>268</v>
      </c>
      <c r="C107" s="11" t="s">
        <v>235</v>
      </c>
      <c r="D107" s="12" t="s">
        <v>70</v>
      </c>
      <c r="E107" s="12">
        <v>2009</v>
      </c>
      <c r="F107" s="13">
        <v>138</v>
      </c>
      <c r="G107" s="14">
        <v>9.36</v>
      </c>
      <c r="H107" s="12" t="s">
        <v>269</v>
      </c>
      <c r="I107" s="15" t="str">
        <f>HYPERLINK("https://www.tienda-institutpaulofreire.com/estudis17.html","Ver ficha")</f>
        <v>Ver ficha</v>
      </c>
      <c r="J107" s="15" t="str">
        <f>HYPERLINK("https://www.tienda-institutpaulofreire.com/images/c_estudis/17.png","Ver portada")</f>
        <v>Ver portada</v>
      </c>
    </row>
    <row r="108" ht="21" customHeight="1">
      <c r="A108" s="4" t="s">
        <v>270</v>
      </c>
      <c r="B108" s="4" t="s">
        <v>52</v>
      </c>
      <c r="C108" s="5" t="s">
        <v>235</v>
      </c>
      <c r="D108" s="6" t="s">
        <v>70</v>
      </c>
      <c r="E108" s="6">
        <v>2010</v>
      </c>
      <c r="F108" s="7">
        <v>236</v>
      </c>
      <c r="G108" s="8">
        <v>9.36</v>
      </c>
      <c r="H108" s="6" t="s">
        <v>271</v>
      </c>
      <c r="I108" s="9" t="str">
        <f>HYPERLINK("https://www.tienda-institutpaulofreire.com/estudis18.html","Ver ficha")</f>
        <v>Ver ficha</v>
      </c>
      <c r="J108" s="9" t="str">
        <f>HYPERLINK("https://www.tienda-institutpaulofreire.com/images/c_estudis/18.png","Ver portada")</f>
        <v>Ver portada</v>
      </c>
    </row>
    <row r="109" ht="36" customHeight="1">
      <c r="A109" s="10" t="s">
        <v>272</v>
      </c>
      <c r="B109" s="10" t="s">
        <v>195</v>
      </c>
      <c r="C109" s="11" t="s">
        <v>235</v>
      </c>
      <c r="D109" s="12" t="s">
        <v>70</v>
      </c>
      <c r="E109" s="12">
        <v>2010</v>
      </c>
      <c r="F109" s="13">
        <v>172</v>
      </c>
      <c r="G109" s="14">
        <v>9.36</v>
      </c>
      <c r="H109" s="12" t="s">
        <v>273</v>
      </c>
      <c r="I109" s="15" t="str">
        <f>HYPERLINK("https://www.tienda-institutpaulofreire.com/estudis19.html","Ver ficha")</f>
        <v>Ver ficha</v>
      </c>
      <c r="J109" s="15" t="str">
        <f>HYPERLINK("https://www.tienda-institutpaulofreire.com/images/c_estudis/19.png","Ver portada")</f>
        <v>Ver portada</v>
      </c>
    </row>
    <row r="110" ht="36" customHeight="1">
      <c r="A110" s="4" t="s">
        <v>274</v>
      </c>
      <c r="B110" s="4" t="s">
        <v>275</v>
      </c>
      <c r="C110" s="5" t="s">
        <v>235</v>
      </c>
      <c r="D110" s="6" t="s">
        <v>70</v>
      </c>
      <c r="E110" s="6">
        <v>2011</v>
      </c>
      <c r="F110" s="7">
        <v>237</v>
      </c>
      <c r="G110" s="8">
        <v>9.36</v>
      </c>
      <c r="H110" s="6" t="s">
        <v>276</v>
      </c>
      <c r="I110" s="9" t="str">
        <f>HYPERLINK("https://www.tienda-institutpaulofreire.com/estudis20.html","Ver ficha")</f>
        <v>Ver ficha</v>
      </c>
      <c r="J110" s="9" t="str">
        <f>HYPERLINK("https://www.tienda-institutpaulofreire.com/images/c_estudis/20.png","Ver portada")</f>
        <v>Ver portada</v>
      </c>
    </row>
    <row r="111" ht="36" customHeight="1">
      <c r="A111" s="10" t="s">
        <v>277</v>
      </c>
      <c r="B111" s="10" t="s">
        <v>278</v>
      </c>
      <c r="C111" s="11" t="s">
        <v>235</v>
      </c>
      <c r="D111" s="12" t="s">
        <v>70</v>
      </c>
      <c r="E111" s="12"/>
      <c r="F111" s="13">
        <v>348</v>
      </c>
      <c r="G111" s="14">
        <v>20.8</v>
      </c>
      <c r="H111" s="12" t="s">
        <v>279</v>
      </c>
      <c r="I111" s="15" t="str">
        <f>HYPERLINK("https://www.tienda-institutpaulofreire.com/estudis21.html","Ver ficha")</f>
        <v>Ver ficha</v>
      </c>
      <c r="J111" s="15" t="str">
        <f>HYPERLINK("https://www.tienda-institutpaulofreire.com/images/c_estudis/21.png","Ver portada")</f>
        <v>Ver portada</v>
      </c>
    </row>
    <row r="112" ht="36" customHeight="1">
      <c r="A112" s="4" t="s">
        <v>280</v>
      </c>
      <c r="B112" s="4" t="s">
        <v>281</v>
      </c>
      <c r="C112" s="5" t="s">
        <v>235</v>
      </c>
      <c r="D112" s="6" t="s">
        <v>70</v>
      </c>
      <c r="E112" s="6"/>
      <c r="F112" s="7"/>
      <c r="G112" s="8">
        <v>20.8</v>
      </c>
      <c r="H112" s="6"/>
      <c r="I112" s="9" t="str">
        <f>HYPERLINK("https://www.tienda-institutpaulofreire.com/estudis22.html","Ver ficha")</f>
        <v>Ver ficha</v>
      </c>
      <c r="J112" s="9" t="str">
        <f>HYPERLINK("https://www.tienda-institutpaulofreire.com/images/c_estudis/22.png","Ver portada")</f>
        <v>Ver portada</v>
      </c>
    </row>
    <row r="113" ht="36" customHeight="1">
      <c r="A113" s="10" t="s">
        <v>282</v>
      </c>
      <c r="B113" s="10" t="s">
        <v>213</v>
      </c>
      <c r="C113" s="11" t="s">
        <v>235</v>
      </c>
      <c r="D113" s="12" t="s">
        <v>13</v>
      </c>
      <c r="E113" s="12">
        <v>2010</v>
      </c>
      <c r="F113" s="13">
        <v>281</v>
      </c>
      <c r="G113" s="14">
        <v>9.36</v>
      </c>
      <c r="H113" s="12"/>
      <c r="I113" s="15" t="str">
        <f>HYPERLINK("https://www.tienda-institutpaulofreire.com/estudis23.html","Ver ficha")</f>
        <v>Ver ficha</v>
      </c>
      <c r="J113" s="15" t="str">
        <f>HYPERLINK("https://www.tienda-institutpaulofreire.com/images/c_estudis/23.png","Ver portada")</f>
        <v>Ver portada</v>
      </c>
    </row>
    <row r="114" ht="36" customHeight="1">
      <c r="A114" s="4" t="s">
        <v>224</v>
      </c>
      <c r="B114" s="4" t="s">
        <v>225</v>
      </c>
      <c r="C114" s="5" t="s">
        <v>235</v>
      </c>
      <c r="D114" s="6" t="s">
        <v>13</v>
      </c>
      <c r="E114" s="6"/>
      <c r="F114" s="7">
        <v>348</v>
      </c>
      <c r="G114" s="8">
        <v>12.48</v>
      </c>
      <c r="H114" s="6" t="s">
        <v>279</v>
      </c>
      <c r="I114" s="9" t="str">
        <f>HYPERLINK("https://www.tienda-institutpaulofreire.com/estudis24.html","Ver ficha")</f>
        <v>Ver ficha</v>
      </c>
      <c r="J114" s="9" t="str">
        <f>HYPERLINK("https://www.tienda-institutpaulofreire.com/images/c_estudis/24.png","Ver portada")</f>
        <v>Ver portada</v>
      </c>
    </row>
    <row r="115" ht="36" customHeight="1">
      <c r="A115" s="10" t="s">
        <v>283</v>
      </c>
      <c r="B115" s="10" t="s">
        <v>121</v>
      </c>
      <c r="C115" s="11" t="s">
        <v>235</v>
      </c>
      <c r="D115" s="12" t="s">
        <v>70</v>
      </c>
      <c r="E115" s="12"/>
      <c r="F115" s="13"/>
      <c r="G115" s="14">
        <v>24.0</v>
      </c>
      <c r="H115" s="12" t="s">
        <v>284</v>
      </c>
      <c r="I115" s="15" t="str">
        <f>HYPERLINK("https://www.tienda-institutpaulofreire.com/estudis25.html","Ver ficha")</f>
        <v>Ver ficha</v>
      </c>
      <c r="J115" s="15" t="str">
        <f>HYPERLINK("https://www.tienda-institutpaulofreire.com/images/c_estudis/25.png","Ver portada")</f>
        <v>Ver portada</v>
      </c>
    </row>
    <row r="116" ht="21" customHeight="1">
      <c r="A116" s="4" t="s">
        <v>285</v>
      </c>
      <c r="B116" s="4" t="s">
        <v>167</v>
      </c>
      <c r="C116" s="5" t="s">
        <v>286</v>
      </c>
      <c r="D116" s="6" t="s">
        <v>70</v>
      </c>
      <c r="E116" s="6">
        <v>2009</v>
      </c>
      <c r="F116" s="7">
        <v>109</v>
      </c>
      <c r="G116" s="8">
        <v>9.36</v>
      </c>
      <c r="H116" s="6" t="s">
        <v>287</v>
      </c>
      <c r="I116" s="9" t="str">
        <f>HYPERLINK("https://www.tienda-institutpaulofreire.com/omega01.html","Ver ficha")</f>
        <v>Ver ficha</v>
      </c>
      <c r="J116" s="9" t="str">
        <f>HYPERLINK("https://www.tienda-institutpaulofreire.com/images/c_omega/01.png","Ver portada")</f>
        <v>Ver portada</v>
      </c>
    </row>
    <row r="117" ht="36" customHeight="1">
      <c r="A117" s="10" t="s">
        <v>288</v>
      </c>
      <c r="B117" s="10" t="s">
        <v>289</v>
      </c>
      <c r="C117" s="11" t="s">
        <v>286</v>
      </c>
      <c r="D117" s="12" t="s">
        <v>70</v>
      </c>
      <c r="E117" s="12">
        <v>2001</v>
      </c>
      <c r="F117" s="13">
        <v>123</v>
      </c>
      <c r="G117" s="14">
        <v>9.36</v>
      </c>
      <c r="H117" s="12" t="s">
        <v>290</v>
      </c>
      <c r="I117" s="15" t="str">
        <f>HYPERLINK("https://www.tienda-institutpaulofreire.com/omega02.html","Ver ficha")</f>
        <v>Ver ficha</v>
      </c>
      <c r="J117" s="15" t="str">
        <f>HYPERLINK("https://www.tienda-institutpaulofreire.com/images/c_omega/02.png","Ver portada")</f>
        <v>Ver portada</v>
      </c>
    </row>
    <row r="118" ht="21" customHeight="1">
      <c r="A118" s="4" t="s">
        <v>291</v>
      </c>
      <c r="B118" s="4" t="s">
        <v>102</v>
      </c>
      <c r="C118" s="5" t="s">
        <v>286</v>
      </c>
      <c r="D118" s="6" t="s">
        <v>70</v>
      </c>
      <c r="E118" s="6">
        <v>2001</v>
      </c>
      <c r="F118" s="7">
        <v>123</v>
      </c>
      <c r="G118" s="8">
        <v>9.36</v>
      </c>
      <c r="H118" s="6" t="s">
        <v>290</v>
      </c>
      <c r="I118" s="9" t="str">
        <f>HYPERLINK("https://www.tienda-institutpaulofreire.com/omega03.html","Ver ficha")</f>
        <v>Ver ficha</v>
      </c>
      <c r="J118" s="9" t="str">
        <f>HYPERLINK("https://www.tienda-institutpaulofreire.com/images/c_omega/03.png","Ver portada")</f>
        <v>Ver portada</v>
      </c>
    </row>
    <row r="119" ht="21" customHeight="1">
      <c r="A119" s="10" t="s">
        <v>292</v>
      </c>
      <c r="B119" s="10" t="s">
        <v>293</v>
      </c>
      <c r="C119" s="11" t="s">
        <v>286</v>
      </c>
      <c r="D119" s="12" t="s">
        <v>70</v>
      </c>
      <c r="E119" s="12">
        <v>2002</v>
      </c>
      <c r="F119" s="13">
        <v>325</v>
      </c>
      <c r="G119" s="14">
        <v>9.36</v>
      </c>
      <c r="H119" s="12" t="s">
        <v>294</v>
      </c>
      <c r="I119" s="15" t="str">
        <f>HYPERLINK("https://www.tienda-institutpaulofreire.com/omega04.html","Ver ficha")</f>
        <v>Ver ficha</v>
      </c>
      <c r="J119" s="15" t="str">
        <f>HYPERLINK("https://www.tienda-institutpaulofreire.com/images/c_omega/04.png","Ver portada")</f>
        <v>Ver portada</v>
      </c>
    </row>
    <row r="120" ht="21" customHeight="1">
      <c r="A120" s="4" t="s">
        <v>173</v>
      </c>
      <c r="B120" s="4" t="s">
        <v>174</v>
      </c>
      <c r="C120" s="5" t="s">
        <v>286</v>
      </c>
      <c r="D120" s="6" t="s">
        <v>70</v>
      </c>
      <c r="E120" s="6">
        <v>2003</v>
      </c>
      <c r="F120" s="7">
        <v>147</v>
      </c>
      <c r="G120" s="8">
        <v>9.36</v>
      </c>
      <c r="H120" s="6" t="s">
        <v>175</v>
      </c>
      <c r="I120" s="9" t="str">
        <f>HYPERLINK("https://www.tienda-institutpaulofreire.com/omega05.html","Ver ficha")</f>
        <v>Ver ficha</v>
      </c>
      <c r="J120" s="9" t="str">
        <f>HYPERLINK("https://www.tienda-institutpaulofreire.com/images/c_omega/05.png","Ver portada")</f>
        <v>Ver portada</v>
      </c>
    </row>
    <row r="121" ht="36" customHeight="1">
      <c r="A121" s="10" t="s">
        <v>295</v>
      </c>
      <c r="B121" s="10" t="s">
        <v>296</v>
      </c>
      <c r="C121" s="11" t="s">
        <v>286</v>
      </c>
      <c r="D121" s="12" t="s">
        <v>70</v>
      </c>
      <c r="E121" s="12">
        <v>2003</v>
      </c>
      <c r="F121" s="13">
        <v>209</v>
      </c>
      <c r="G121" s="14">
        <v>9.36</v>
      </c>
      <c r="H121" s="12" t="s">
        <v>297</v>
      </c>
      <c r="I121" s="15" t="str">
        <f>HYPERLINK("https://www.tienda-institutpaulofreire.com/omega06.html","Ver ficha")</f>
        <v>Ver ficha</v>
      </c>
      <c r="J121" s="15" t="str">
        <f>HYPERLINK("https://www.tienda-institutpaulofreire.com/images/c_omega/06.png","Ver portada")</f>
        <v>Ver portada</v>
      </c>
    </row>
    <row r="122" ht="21" customHeight="1">
      <c r="A122" s="4" t="s">
        <v>176</v>
      </c>
      <c r="B122" s="4" t="s">
        <v>60</v>
      </c>
      <c r="C122" s="5" t="s">
        <v>286</v>
      </c>
      <c r="D122" s="6" t="s">
        <v>70</v>
      </c>
      <c r="E122" s="6">
        <v>2004</v>
      </c>
      <c r="F122" s="7">
        <v>100</v>
      </c>
      <c r="G122" s="8">
        <v>9.36</v>
      </c>
      <c r="H122" s="6" t="s">
        <v>177</v>
      </c>
      <c r="I122" s="9" t="str">
        <f>HYPERLINK("https://www.tienda-institutpaulofreire.com/omega07.html","Ver ficha")</f>
        <v>Ver ficha</v>
      </c>
      <c r="J122" s="9" t="str">
        <f>HYPERLINK("https://www.tienda-institutpaulofreire.com/images/c_omega/07.png","Ver portada")</f>
        <v>Ver portada</v>
      </c>
    </row>
    <row r="123" ht="21" customHeight="1">
      <c r="A123" s="10" t="s">
        <v>183</v>
      </c>
      <c r="B123" s="10" t="s">
        <v>25</v>
      </c>
      <c r="C123" s="11" t="s">
        <v>286</v>
      </c>
      <c r="D123" s="12" t="s">
        <v>70</v>
      </c>
      <c r="E123" s="12">
        <v>2004</v>
      </c>
      <c r="F123" s="13">
        <v>204</v>
      </c>
      <c r="G123" s="14">
        <v>9.36</v>
      </c>
      <c r="H123" s="12" t="s">
        <v>184</v>
      </c>
      <c r="I123" s="15" t="str">
        <f>HYPERLINK("https://www.tienda-institutpaulofreire.com/omega08.html","Ver ficha")</f>
        <v>Ver ficha</v>
      </c>
      <c r="J123" s="15" t="str">
        <f>HYPERLINK("https://www.tienda-institutpaulofreire.com/images/c_omega/08.png","Ver portada")</f>
        <v>Ver portada</v>
      </c>
    </row>
    <row r="124" ht="21" customHeight="1">
      <c r="A124" s="4" t="s">
        <v>298</v>
      </c>
      <c r="B124" s="4" t="s">
        <v>299</v>
      </c>
      <c r="C124" s="5" t="s">
        <v>286</v>
      </c>
      <c r="D124" s="6" t="s">
        <v>70</v>
      </c>
      <c r="E124" s="6">
        <v>2005</v>
      </c>
      <c r="F124" s="7">
        <v>327</v>
      </c>
      <c r="G124" s="8">
        <v>9.36</v>
      </c>
      <c r="H124" s="6" t="s">
        <v>300</v>
      </c>
      <c r="I124" s="9" t="str">
        <f>HYPERLINK("https://www.tienda-institutpaulofreire.com/omega09.html","Ver ficha")</f>
        <v>Ver ficha</v>
      </c>
      <c r="J124" s="9" t="str">
        <f>HYPERLINK("https://www.tienda-institutpaulofreire.com/images/c_omega/09.png","Ver portada")</f>
        <v>Ver portada</v>
      </c>
    </row>
    <row r="125" ht="36" customHeight="1">
      <c r="A125" s="10" t="s">
        <v>185</v>
      </c>
      <c r="B125" s="10" t="s">
        <v>40</v>
      </c>
      <c r="C125" s="11" t="s">
        <v>286</v>
      </c>
      <c r="D125" s="12" t="s">
        <v>70</v>
      </c>
      <c r="E125" s="12">
        <v>2005</v>
      </c>
      <c r="F125" s="13">
        <v>183</v>
      </c>
      <c r="G125" s="14">
        <v>9.36</v>
      </c>
      <c r="H125" s="12" t="s">
        <v>186</v>
      </c>
      <c r="I125" s="15" t="str">
        <f>HYPERLINK("https://www.tienda-institutpaulofreire.com/omega10.html","Ver ficha")</f>
        <v>Ver ficha</v>
      </c>
      <c r="J125" s="15" t="str">
        <f>HYPERLINK("https://www.tienda-institutpaulofreire.com/images/c_omega/10.png","Ver portada")</f>
        <v>Ver portada</v>
      </c>
    </row>
    <row r="126" ht="36" customHeight="1">
      <c r="A126" s="4" t="s">
        <v>301</v>
      </c>
      <c r="B126" s="4" t="s">
        <v>268</v>
      </c>
      <c r="C126" s="5" t="s">
        <v>286</v>
      </c>
      <c r="D126" s="6" t="s">
        <v>70</v>
      </c>
      <c r="E126" s="6">
        <v>2006</v>
      </c>
      <c r="F126" s="7">
        <v>150</v>
      </c>
      <c r="G126" s="8">
        <v>9.36</v>
      </c>
      <c r="H126" s="6" t="s">
        <v>302</v>
      </c>
      <c r="I126" s="9" t="str">
        <f>HYPERLINK("https://www.tienda-institutpaulofreire.com/omega11.html","Ver ficha")</f>
        <v>Ver ficha</v>
      </c>
      <c r="J126" s="9" t="str">
        <f>HYPERLINK("https://www.tienda-institutpaulofreire.com/images/c_omega/11.png","Ver portada")</f>
        <v>Ver portada</v>
      </c>
    </row>
    <row r="127" ht="21" customHeight="1">
      <c r="A127" s="10" t="s">
        <v>303</v>
      </c>
      <c r="B127" s="10" t="s">
        <v>304</v>
      </c>
      <c r="C127" s="11" t="s">
        <v>286</v>
      </c>
      <c r="D127" s="12" t="s">
        <v>70</v>
      </c>
      <c r="E127" s="12">
        <v>2007</v>
      </c>
      <c r="F127" s="13">
        <v>80</v>
      </c>
      <c r="G127" s="14">
        <v>9.36</v>
      </c>
      <c r="H127" s="12" t="s">
        <v>305</v>
      </c>
      <c r="I127" s="15" t="str">
        <f>HYPERLINK("https://www.tienda-institutpaulofreire.com/omega12.html","Ver ficha")</f>
        <v>Ver ficha</v>
      </c>
      <c r="J127" s="15" t="str">
        <f>HYPERLINK("https://www.tienda-institutpaulofreire.com/images/c_omega/12.png","Ver portada")</f>
        <v>Ver portada</v>
      </c>
    </row>
    <row r="128" ht="36" customHeight="1">
      <c r="A128" s="4" t="s">
        <v>306</v>
      </c>
      <c r="B128" s="4" t="s">
        <v>307</v>
      </c>
      <c r="C128" s="5" t="s">
        <v>286</v>
      </c>
      <c r="D128" s="6" t="s">
        <v>70</v>
      </c>
      <c r="E128" s="6">
        <v>2007</v>
      </c>
      <c r="F128" s="7">
        <v>259</v>
      </c>
      <c r="G128" s="8">
        <v>9.36</v>
      </c>
      <c r="H128" s="6" t="s">
        <v>308</v>
      </c>
      <c r="I128" s="9" t="str">
        <f>HYPERLINK("https://www.tienda-institutpaulofreire.com/omega13.html","Ver ficha")</f>
        <v>Ver ficha</v>
      </c>
      <c r="J128" s="9" t="str">
        <f>HYPERLINK("https://www.tienda-institutpaulofreire.com/images/c_omega/13.png","Ver portada")</f>
        <v>Ver portada</v>
      </c>
    </row>
    <row r="129" ht="36" customHeight="1">
      <c r="A129" s="10" t="s">
        <v>309</v>
      </c>
      <c r="B129" s="10" t="s">
        <v>310</v>
      </c>
      <c r="C129" s="11" t="s">
        <v>286</v>
      </c>
      <c r="D129" s="12" t="s">
        <v>70</v>
      </c>
      <c r="E129" s="12">
        <v>2007</v>
      </c>
      <c r="F129" s="13">
        <v>171</v>
      </c>
      <c r="G129" s="14">
        <v>9.36</v>
      </c>
      <c r="H129" s="12" t="s">
        <v>311</v>
      </c>
      <c r="I129" s="15" t="str">
        <f>HYPERLINK("https://www.tienda-institutpaulofreire.com/omega14.html","Ver ficha")</f>
        <v>Ver ficha</v>
      </c>
      <c r="J129" s="15" t="str">
        <f>HYPERLINK("https://www.tienda-institutpaulofreire.com/images/c_omega/14.png","Ver portada")</f>
        <v>Ver portada</v>
      </c>
    </row>
    <row r="130" ht="21" customHeight="1">
      <c r="A130" s="4" t="s">
        <v>312</v>
      </c>
      <c r="B130" s="4" t="s">
        <v>132</v>
      </c>
      <c r="C130" s="5" t="s">
        <v>286</v>
      </c>
      <c r="D130" s="6" t="s">
        <v>70</v>
      </c>
      <c r="E130" s="6">
        <v>2008</v>
      </c>
      <c r="F130" s="7">
        <v>284</v>
      </c>
      <c r="G130" s="8">
        <v>9.36</v>
      </c>
      <c r="H130" s="6" t="s">
        <v>313</v>
      </c>
      <c r="I130" s="9" t="str">
        <f>HYPERLINK("https://www.tienda-institutpaulofreire.com/omega15.html","Ver ficha")</f>
        <v>Ver ficha</v>
      </c>
      <c r="J130" s="9" t="str">
        <f>HYPERLINK("https://www.tienda-institutpaulofreire.com/images/c_omega/15.png","Ver portada")</f>
        <v>Ver portada</v>
      </c>
    </row>
    <row r="131" ht="66" customHeight="1">
      <c r="A131" s="10" t="s">
        <v>314</v>
      </c>
      <c r="B131" s="10" t="s">
        <v>315</v>
      </c>
      <c r="C131" s="11" t="s">
        <v>286</v>
      </c>
      <c r="D131" s="12" t="s">
        <v>70</v>
      </c>
      <c r="E131" s="12">
        <v>2009</v>
      </c>
      <c r="F131" s="13">
        <v>219</v>
      </c>
      <c r="G131" s="14">
        <v>9.36</v>
      </c>
      <c r="H131" s="12" t="s">
        <v>316</v>
      </c>
      <c r="I131" s="15" t="str">
        <f>HYPERLINK("https://www.tienda-institutpaulofreire.com/omega16.html","Ver ficha")</f>
        <v>Ver ficha</v>
      </c>
      <c r="J131" s="15" t="str">
        <f>HYPERLINK("https://www.tienda-institutpaulofreire.com/images/c_omega/16.png","Ver portada")</f>
        <v>Ver portada</v>
      </c>
    </row>
    <row r="132" ht="21" customHeight="1">
      <c r="A132" s="4" t="s">
        <v>317</v>
      </c>
      <c r="B132" s="4" t="s">
        <v>318</v>
      </c>
      <c r="C132" s="5" t="s">
        <v>286</v>
      </c>
      <c r="D132" s="6" t="s">
        <v>70</v>
      </c>
      <c r="E132" s="6">
        <v>2009</v>
      </c>
      <c r="F132" s="7">
        <v>254</v>
      </c>
      <c r="G132" s="8">
        <v>9.36</v>
      </c>
      <c r="H132" s="6" t="s">
        <v>319</v>
      </c>
      <c r="I132" s="9" t="str">
        <f>HYPERLINK("https://www.tienda-institutpaulofreire.com/omega17.html","Ver ficha")</f>
        <v>Ver ficha</v>
      </c>
      <c r="J132" s="9" t="str">
        <f>HYPERLINK("https://www.tienda-institutpaulofreire.com/images/c_omega/17.png","Ver portada")</f>
        <v>Ver portada</v>
      </c>
    </row>
    <row r="133" ht="36" customHeight="1">
      <c r="A133" s="10" t="s">
        <v>320</v>
      </c>
      <c r="B133" s="10" t="s">
        <v>195</v>
      </c>
      <c r="C133" s="11" t="s">
        <v>286</v>
      </c>
      <c r="D133" s="12" t="s">
        <v>70</v>
      </c>
      <c r="E133" s="12">
        <v>2009</v>
      </c>
      <c r="F133" s="13">
        <v>204</v>
      </c>
      <c r="G133" s="14">
        <v>9.36</v>
      </c>
      <c r="H133" s="12" t="s">
        <v>321</v>
      </c>
      <c r="I133" s="15" t="str">
        <f>HYPERLINK("https://www.tienda-institutpaulofreire.com/omega18.html","Ver ficha")</f>
        <v>Ver ficha</v>
      </c>
      <c r="J133" s="15" t="str">
        <f>HYPERLINK("https://www.tienda-institutpaulofreire.com/images/c_omega/18.png","Ver portada")</f>
        <v>Ver portada</v>
      </c>
    </row>
    <row r="134" ht="36" customHeight="1">
      <c r="A134" s="4" t="s">
        <v>322</v>
      </c>
      <c r="B134" s="4" t="s">
        <v>188</v>
      </c>
      <c r="C134" s="5" t="s">
        <v>286</v>
      </c>
      <c r="D134" s="6" t="s">
        <v>70</v>
      </c>
      <c r="E134" s="6">
        <v>2010</v>
      </c>
      <c r="F134" s="7">
        <v>269</v>
      </c>
      <c r="G134" s="8">
        <v>9.36</v>
      </c>
      <c r="H134" s="6" t="s">
        <v>323</v>
      </c>
      <c r="I134" s="9" t="str">
        <f>HYPERLINK("https://www.tienda-institutpaulofreire.com/omega19.html","Ver ficha")</f>
        <v>Ver ficha</v>
      </c>
      <c r="J134" s="9" t="str">
        <f>HYPERLINK("https://www.tienda-institutpaulofreire.com/images/c_omega/19.png","Ver portada")</f>
        <v>Ver portada</v>
      </c>
    </row>
    <row r="135" ht="21" customHeight="1">
      <c r="A135" s="10" t="s">
        <v>324</v>
      </c>
      <c r="B135" s="10" t="s">
        <v>55</v>
      </c>
      <c r="C135" s="11" t="s">
        <v>286</v>
      </c>
      <c r="D135" s="12" t="s">
        <v>70</v>
      </c>
      <c r="E135" s="12">
        <v>2011</v>
      </c>
      <c r="F135" s="13">
        <v>151</v>
      </c>
      <c r="G135" s="14">
        <v>9.36</v>
      </c>
      <c r="H135" s="12" t="s">
        <v>325</v>
      </c>
      <c r="I135" s="15" t="str">
        <f>HYPERLINK("https://www.tienda-institutpaulofreire.com/omega20.html","Ver ficha")</f>
        <v>Ver ficha</v>
      </c>
      <c r="J135" s="15" t="str">
        <f>HYPERLINK("https://www.tienda-institutpaulofreire.com/images/c_omega/20.png","Ver portada")</f>
        <v>Ver portada</v>
      </c>
    </row>
    <row r="136" ht="21" customHeight="1">
      <c r="A136" s="4" t="s">
        <v>326</v>
      </c>
      <c r="B136" s="4" t="s">
        <v>327</v>
      </c>
      <c r="C136" s="5" t="s">
        <v>286</v>
      </c>
      <c r="D136" s="6" t="s">
        <v>70</v>
      </c>
      <c r="E136" s="6"/>
      <c r="F136" s="7">
        <v>183</v>
      </c>
      <c r="G136" s="8">
        <v>20.8</v>
      </c>
      <c r="H136" s="6" t="s">
        <v>328</v>
      </c>
      <c r="I136" s="9" t="str">
        <f>HYPERLINK("https://www.tienda-institutpaulofreire.com/omega21.html","Ver ficha")</f>
        <v>Ver ficha</v>
      </c>
      <c r="J136" s="9" t="str">
        <f>HYPERLINK("https://www.tienda-institutpaulofreire.com/images/c_omega/21.png","Ver portada")</f>
        <v>Ver portada</v>
      </c>
    </row>
    <row r="137" ht="36" customHeight="1">
      <c r="A137" s="10" t="s">
        <v>329</v>
      </c>
      <c r="B137" s="10" t="s">
        <v>330</v>
      </c>
      <c r="C137" s="11" t="s">
        <v>286</v>
      </c>
      <c r="D137" s="12" t="s">
        <v>70</v>
      </c>
      <c r="E137" s="12"/>
      <c r="F137" s="13">
        <v>201</v>
      </c>
      <c r="G137" s="14">
        <v>20.8</v>
      </c>
      <c r="H137" s="12" t="s">
        <v>331</v>
      </c>
      <c r="I137" s="15" t="str">
        <f>HYPERLINK("https://www.tienda-institutpaulofreire.com/omega22.html","Ver ficha")</f>
        <v>Ver ficha</v>
      </c>
      <c r="J137" s="15" t="str">
        <f>HYPERLINK("https://www.tienda-institutpaulofreire.com/images/c_omega/22.png","Ver portada")</f>
        <v>Ver portada</v>
      </c>
    </row>
    <row r="138" ht="36" customHeight="1">
      <c r="A138" s="4" t="s">
        <v>332</v>
      </c>
      <c r="B138" s="4" t="s">
        <v>327</v>
      </c>
      <c r="C138" s="5" t="s">
        <v>286</v>
      </c>
      <c r="D138" s="6" t="s">
        <v>70</v>
      </c>
      <c r="E138" s="6"/>
      <c r="F138" s="7">
        <v>132</v>
      </c>
      <c r="G138" s="8">
        <v>9.36</v>
      </c>
      <c r="H138" s="6" t="s">
        <v>333</v>
      </c>
      <c r="I138" s="9" t="str">
        <f>HYPERLINK("https://www.tienda-institutpaulofreire.com/omega23.html","Ver ficha")</f>
        <v>Ver ficha</v>
      </c>
      <c r="J138" s="9" t="str">
        <f>HYPERLINK("https://www.tienda-institutpaulofreire.com/images/c_omega/23.png","Ver portada")</f>
        <v>Ver portada</v>
      </c>
    </row>
    <row r="139" ht="21" customHeight="1">
      <c r="A139" s="10" t="s">
        <v>334</v>
      </c>
      <c r="B139" s="10" t="s">
        <v>167</v>
      </c>
      <c r="C139" s="11" t="s">
        <v>286</v>
      </c>
      <c r="D139" s="12" t="s">
        <v>70</v>
      </c>
      <c r="E139" s="12"/>
      <c r="F139" s="13">
        <v>312</v>
      </c>
      <c r="G139" s="14">
        <v>20.8</v>
      </c>
      <c r="H139" s="12" t="s">
        <v>335</v>
      </c>
      <c r="I139" s="15" t="str">
        <f>HYPERLINK("https://www.tienda-institutpaulofreire.com/omega24.html","Ver ficha")</f>
        <v>Ver ficha</v>
      </c>
      <c r="J139" s="15" t="str">
        <f>HYPERLINK("https://www.tienda-institutpaulofreire.com/images/c_omega/24.png","Ver portada")</f>
        <v>Ver portada</v>
      </c>
    </row>
    <row r="140" ht="36" customHeight="1">
      <c r="A140" s="4" t="s">
        <v>336</v>
      </c>
      <c r="B140" s="4" t="s">
        <v>337</v>
      </c>
      <c r="C140" s="5" t="s">
        <v>338</v>
      </c>
      <c r="D140" s="6" t="s">
        <v>13</v>
      </c>
      <c r="E140" s="6">
        <v>1998</v>
      </c>
      <c r="F140" s="7">
        <v>109</v>
      </c>
      <c r="G140" s="8">
        <v>9.36</v>
      </c>
      <c r="H140" s="6" t="s">
        <v>339</v>
      </c>
      <c r="I140" s="9" t="str">
        <f>HYPERLINK("https://www.tienda-institutpaulofreire.com/eines01.html","Ver ficha")</f>
        <v>Ver ficha</v>
      </c>
      <c r="J140" s="9" t="str">
        <f>HYPERLINK("https://www.tienda-institutpaulofreire.com/images/eines/01.png","Ver portada")</f>
        <v>Ver portada</v>
      </c>
    </row>
    <row r="141" ht="36" customHeight="1">
      <c r="A141" s="10" t="s">
        <v>340</v>
      </c>
      <c r="B141" s="10" t="s">
        <v>337</v>
      </c>
      <c r="C141" s="11" t="s">
        <v>338</v>
      </c>
      <c r="D141" s="12" t="s">
        <v>13</v>
      </c>
      <c r="E141" s="12">
        <v>1998</v>
      </c>
      <c r="F141" s="13">
        <v>120</v>
      </c>
      <c r="G141" s="14">
        <v>9.36</v>
      </c>
      <c r="H141" s="12" t="s">
        <v>341</v>
      </c>
      <c r="I141" s="15" t="str">
        <f>HYPERLINK("https://www.tienda-institutpaulofreire.com/eines02.html","Ver ficha")</f>
        <v>Ver ficha</v>
      </c>
      <c r="J141" s="15" t="str">
        <f>HYPERLINK("https://www.tienda-institutpaulofreire.com/images/eines/02.png","Ver portada")</f>
        <v>Ver portada</v>
      </c>
    </row>
    <row r="142" ht="21" customHeight="1">
      <c r="A142" s="4" t="s">
        <v>342</v>
      </c>
      <c r="B142" s="4" t="s">
        <v>343</v>
      </c>
      <c r="C142" s="5" t="s">
        <v>338</v>
      </c>
      <c r="D142" s="6" t="s">
        <v>70</v>
      </c>
      <c r="E142" s="6">
        <v>1999</v>
      </c>
      <c r="F142" s="7">
        <v>103</v>
      </c>
      <c r="G142" s="8">
        <v>9.36</v>
      </c>
      <c r="H142" s="6" t="s">
        <v>344</v>
      </c>
      <c r="I142" s="9" t="str">
        <f>HYPERLINK("https://www.tienda-institutpaulofreire.com/eines03.html","Ver ficha")</f>
        <v>Ver ficha</v>
      </c>
      <c r="J142" s="9" t="str">
        <f>HYPERLINK("https://www.tienda-institutpaulofreire.com/images/eines/03.png","Ver portada")</f>
        <v>Ver portada</v>
      </c>
    </row>
    <row r="143" ht="36" customHeight="1">
      <c r="A143" s="10" t="s">
        <v>345</v>
      </c>
      <c r="B143" s="10" t="s">
        <v>346</v>
      </c>
      <c r="C143" s="11" t="s">
        <v>338</v>
      </c>
      <c r="D143" s="12" t="s">
        <v>13</v>
      </c>
      <c r="E143" s="12">
        <v>1999</v>
      </c>
      <c r="F143" s="13">
        <v>87</v>
      </c>
      <c r="G143" s="14">
        <v>9.36</v>
      </c>
      <c r="H143" s="12" t="s">
        <v>347</v>
      </c>
      <c r="I143" s="15" t="str">
        <f>HYPERLINK("https://www.tienda-institutpaulofreire.com/eines04.html","Ver ficha")</f>
        <v>Ver ficha</v>
      </c>
      <c r="J143" s="15" t="str">
        <f>HYPERLINK("https://www.tienda-institutpaulofreire.com/images/eines/04.png","Ver portada")</f>
        <v>Ver portada</v>
      </c>
    </row>
    <row r="144" ht="36" customHeight="1">
      <c r="A144" s="4" t="s">
        <v>348</v>
      </c>
      <c r="B144" s="4" t="s">
        <v>349</v>
      </c>
      <c r="C144" s="5" t="s">
        <v>338</v>
      </c>
      <c r="D144" s="6" t="s">
        <v>70</v>
      </c>
      <c r="E144" s="6">
        <v>2000</v>
      </c>
      <c r="F144" s="7">
        <v>124</v>
      </c>
      <c r="G144" s="8">
        <v>9.36</v>
      </c>
      <c r="H144" s="6" t="s">
        <v>350</v>
      </c>
      <c r="I144" s="9" t="str">
        <f>HYPERLINK("https://www.tienda-institutpaulofreire.com/eines05.html","Ver ficha")</f>
        <v>Ver ficha</v>
      </c>
      <c r="J144" s="9" t="str">
        <f>HYPERLINK("https://www.tienda-institutpaulofreire.com/images/eines/05.png","Ver portada")</f>
        <v>Ver portada</v>
      </c>
    </row>
    <row r="145" ht="36" customHeight="1">
      <c r="A145" s="10" t="s">
        <v>351</v>
      </c>
      <c r="B145" s="10" t="s">
        <v>352</v>
      </c>
      <c r="C145" s="11" t="s">
        <v>338</v>
      </c>
      <c r="D145" s="12" t="s">
        <v>70</v>
      </c>
      <c r="E145" s="12">
        <v>2001</v>
      </c>
      <c r="F145" s="13">
        <v>260</v>
      </c>
      <c r="G145" s="14">
        <v>9.36</v>
      </c>
      <c r="H145" s="12" t="s">
        <v>353</v>
      </c>
      <c r="I145" s="15" t="str">
        <f>HYPERLINK("https://www.tienda-institutpaulofreire.com/eines06.html","Ver ficha")</f>
        <v>Ver ficha</v>
      </c>
      <c r="J145" s="15" t="str">
        <f>HYPERLINK("https://www.tienda-institutpaulofreire.com/images/eines/06.png","Ver portada")</f>
        <v>Ver portada</v>
      </c>
    </row>
    <row r="146" ht="36" customHeight="1">
      <c r="A146" s="4" t="s">
        <v>354</v>
      </c>
      <c r="B146" s="4" t="s">
        <v>355</v>
      </c>
      <c r="C146" s="5" t="s">
        <v>338</v>
      </c>
      <c r="D146" s="6" t="s">
        <v>13</v>
      </c>
      <c r="E146" s="6">
        <v>2001</v>
      </c>
      <c r="F146" s="7">
        <v>111</v>
      </c>
      <c r="G146" s="8">
        <v>9.36</v>
      </c>
      <c r="H146" s="6" t="s">
        <v>356</v>
      </c>
      <c r="I146" s="9" t="str">
        <f>HYPERLINK("https://www.tienda-institutpaulofreire.com/eines07.html","Ver ficha")</f>
        <v>Ver ficha</v>
      </c>
      <c r="J146" s="9" t="str">
        <f>HYPERLINK("https://www.tienda-institutpaulofreire.com/images/eines/07.png","Ver portada")</f>
        <v>Ver portada</v>
      </c>
    </row>
    <row r="147" ht="36" customHeight="1">
      <c r="A147" s="10" t="s">
        <v>357</v>
      </c>
      <c r="B147" s="10" t="s">
        <v>167</v>
      </c>
      <c r="C147" s="11" t="s">
        <v>338</v>
      </c>
      <c r="D147" s="12" t="s">
        <v>13</v>
      </c>
      <c r="E147" s="12">
        <v>2002</v>
      </c>
      <c r="F147" s="13">
        <v>133</v>
      </c>
      <c r="G147" s="14">
        <v>9.36</v>
      </c>
      <c r="H147" s="12" t="s">
        <v>168</v>
      </c>
      <c r="I147" s="15" t="str">
        <f>HYPERLINK("https://www.tienda-institutpaulofreire.com/eines08.html","Ver ficha")</f>
        <v>Ver ficha</v>
      </c>
      <c r="J147" s="15" t="str">
        <f>HYPERLINK("https://www.tienda-institutpaulofreire.com/images/eines/08.png","Ver portada")</f>
        <v>Ver portada</v>
      </c>
    </row>
    <row r="148" ht="36" customHeight="1">
      <c r="A148" s="4" t="s">
        <v>358</v>
      </c>
      <c r="B148" s="4" t="s">
        <v>359</v>
      </c>
      <c r="C148" s="5" t="s">
        <v>338</v>
      </c>
      <c r="D148" s="6" t="s">
        <v>70</v>
      </c>
      <c r="E148" s="6">
        <v>2003</v>
      </c>
      <c r="F148" s="7">
        <v>139</v>
      </c>
      <c r="G148" s="8">
        <v>9.36</v>
      </c>
      <c r="H148" s="6" t="s">
        <v>360</v>
      </c>
      <c r="I148" s="9" t="str">
        <f>HYPERLINK("https://www.tienda-institutpaulofreire.com/eines09.html","Ver ficha")</f>
        <v>Ver ficha</v>
      </c>
      <c r="J148" s="9" t="str">
        <f>HYPERLINK("https://www.tienda-institutpaulofreire.com/images/eines/09.png","Ver portada")</f>
        <v>Ver portada</v>
      </c>
    </row>
    <row r="149" ht="21" customHeight="1">
      <c r="A149" s="10" t="s">
        <v>361</v>
      </c>
      <c r="B149" s="10" t="s">
        <v>362</v>
      </c>
      <c r="C149" s="11" t="s">
        <v>338</v>
      </c>
      <c r="D149" s="12" t="s">
        <v>13</v>
      </c>
      <c r="E149" s="12">
        <v>2007</v>
      </c>
      <c r="F149" s="13">
        <v>110</v>
      </c>
      <c r="G149" s="14">
        <v>9.36</v>
      </c>
      <c r="H149" s="12" t="s">
        <v>363</v>
      </c>
      <c r="I149" s="15" t="str">
        <f>HYPERLINK("https://www.tienda-institutpaulofreire.com/eines10.html","Ver ficha")</f>
        <v>Ver ficha</v>
      </c>
      <c r="J149" s="15" t="str">
        <f>HYPERLINK("https://www.tienda-institutpaulofreire.com/images/eines/10.png","Ver portada")</f>
        <v>Ver portada</v>
      </c>
    </row>
    <row r="150" ht="36" customHeight="1">
      <c r="A150" s="4" t="s">
        <v>364</v>
      </c>
      <c r="B150" s="4" t="s">
        <v>365</v>
      </c>
      <c r="C150" s="5" t="s">
        <v>338</v>
      </c>
      <c r="D150" s="6" t="s">
        <v>13</v>
      </c>
      <c r="E150" s="6">
        <v>2008</v>
      </c>
      <c r="F150" s="7">
        <v>91</v>
      </c>
      <c r="G150" s="8">
        <v>9.36</v>
      </c>
      <c r="H150" s="6" t="s">
        <v>366</v>
      </c>
      <c r="I150" s="9" t="str">
        <f>HYPERLINK("https://www.tienda-institutpaulofreire.com/eines11.html","Ver ficha")</f>
        <v>Ver ficha</v>
      </c>
      <c r="J150" s="9" t="str">
        <f>HYPERLINK("https://www.tienda-institutpaulofreire.com/images/eines/11.png","Ver portada")</f>
        <v>Ver portada</v>
      </c>
    </row>
    <row r="151" ht="36" customHeight="1">
      <c r="A151" s="10" t="s">
        <v>367</v>
      </c>
      <c r="B151" s="10" t="s">
        <v>368</v>
      </c>
      <c r="C151" s="11" t="s">
        <v>338</v>
      </c>
      <c r="D151" s="12" t="s">
        <v>70</v>
      </c>
      <c r="E151" s="12">
        <v>2009</v>
      </c>
      <c r="F151" s="13">
        <v>31</v>
      </c>
      <c r="G151" s="14">
        <v>9.36</v>
      </c>
      <c r="H151" s="12" t="s">
        <v>369</v>
      </c>
      <c r="I151" s="15" t="str">
        <f>HYPERLINK("https://www.tienda-institutpaulofreire.com/eines12.html","Ver ficha")</f>
        <v>Ver ficha</v>
      </c>
      <c r="J151" s="15" t="str">
        <f>HYPERLINK("https://www.tienda-institutpaulofreire.com/images/eines/12.png","Ver portada")</f>
        <v>Ver portada</v>
      </c>
    </row>
    <row r="152" ht="66" customHeight="1">
      <c r="A152" s="4" t="s">
        <v>370</v>
      </c>
      <c r="B152" s="4" t="s">
        <v>371</v>
      </c>
      <c r="C152" s="5" t="s">
        <v>338</v>
      </c>
      <c r="D152" s="6" t="s">
        <v>70</v>
      </c>
      <c r="E152" s="6">
        <v>2010</v>
      </c>
      <c r="F152" s="7">
        <v>91</v>
      </c>
      <c r="G152" s="8">
        <v>9.36</v>
      </c>
      <c r="H152" s="6" t="s">
        <v>56</v>
      </c>
      <c r="I152" s="9" t="str">
        <f>HYPERLINK("https://www.tienda-institutpaulofreire.com/eines13.html","Ver ficha")</f>
        <v>Ver ficha</v>
      </c>
      <c r="J152" s="9" t="str">
        <f>HYPERLINK("https://www.tienda-institutpaulofreire.com/images/eines/13.png","Ver portada")</f>
        <v>Ver portada</v>
      </c>
    </row>
    <row r="153" ht="21" customHeight="1">
      <c r="A153" s="10" t="s">
        <v>372</v>
      </c>
      <c r="B153" s="10" t="s">
        <v>373</v>
      </c>
      <c r="C153" s="11" t="s">
        <v>374</v>
      </c>
      <c r="D153" s="12" t="s">
        <v>13</v>
      </c>
      <c r="E153" s="12">
        <v>2003</v>
      </c>
      <c r="F153" s="13">
        <v>129</v>
      </c>
      <c r="G153" s="14">
        <v>7.28</v>
      </c>
      <c r="H153" s="12" t="s">
        <v>375</v>
      </c>
      <c r="I153" s="15" t="str">
        <f>HYPERLINK("https://www.tienda-institutpaulofreire.com/laboratori01.html","Ver ficha")</f>
        <v>Ver ficha</v>
      </c>
      <c r="J153" s="15" t="str">
        <f>HYPERLINK("https://www.tienda-institutpaulofreire.com/images/leg/leg001.png","Ver portada")</f>
        <v>Ver portada</v>
      </c>
    </row>
    <row r="154" ht="36" customHeight="1">
      <c r="A154" s="4" t="s">
        <v>376</v>
      </c>
      <c r="B154" s="4" t="s">
        <v>377</v>
      </c>
      <c r="C154" s="5" t="s">
        <v>374</v>
      </c>
      <c r="D154" s="6" t="s">
        <v>13</v>
      </c>
      <c r="E154" s="6">
        <v>2005</v>
      </c>
      <c r="F154" s="7">
        <v>22</v>
      </c>
      <c r="G154" s="8">
        <v>3.12</v>
      </c>
      <c r="H154" s="6"/>
      <c r="I154" s="9" t="str">
        <f>HYPERLINK("https://www.tienda-institutpaulofreire.com/laboratori02.html","Ver ficha")</f>
        <v>Ver ficha</v>
      </c>
      <c r="J154" s="9" t="str">
        <f>HYPERLINK("https://www.tienda-institutpaulofreire.com/images/leg/sep001.png","Ver portada")</f>
        <v>Ver portada</v>
      </c>
    </row>
    <row r="155" ht="21" customHeight="1">
      <c r="A155" s="10" t="s">
        <v>378</v>
      </c>
      <c r="B155" s="10" t="s">
        <v>373</v>
      </c>
      <c r="C155" s="11" t="s">
        <v>374</v>
      </c>
      <c r="D155" s="12" t="s">
        <v>13</v>
      </c>
      <c r="E155" s="12">
        <v>2004</v>
      </c>
      <c r="F155" s="13">
        <v>166</v>
      </c>
      <c r="G155" s="14">
        <v>7.28</v>
      </c>
      <c r="H155" s="12" t="s">
        <v>379</v>
      </c>
      <c r="I155" s="15" t="str">
        <f>HYPERLINK("https://www.tienda-institutpaulofreire.com/laboratori03.html","Ver ficha")</f>
        <v>Ver ficha</v>
      </c>
      <c r="J155" s="15" t="str">
        <f>HYPERLINK("https://www.tienda-institutpaulofreire.com/images/leg/leg002.png","Ver portada")</f>
        <v>Ver portada</v>
      </c>
    </row>
    <row r="156" ht="21" customHeight="1">
      <c r="A156" s="4" t="s">
        <v>380</v>
      </c>
      <c r="B156" s="4" t="s">
        <v>97</v>
      </c>
      <c r="C156" s="5" t="s">
        <v>374</v>
      </c>
      <c r="D156" s="6" t="s">
        <v>13</v>
      </c>
      <c r="E156" s="6">
        <v>2005</v>
      </c>
      <c r="F156" s="7">
        <v>67</v>
      </c>
      <c r="G156" s="8">
        <v>3.12</v>
      </c>
      <c r="H156" s="6"/>
      <c r="I156" s="9" t="str">
        <f>HYPERLINK("https://www.tienda-institutpaulofreire.com/laboratori04.html","Ver ficha")</f>
        <v>Ver ficha</v>
      </c>
      <c r="J156" s="9" t="str">
        <f>HYPERLINK("https://www.tienda-institutpaulofreire.com/images/leg/sep002.png","Ver portada")</f>
        <v>Ver portada</v>
      </c>
    </row>
    <row r="157" ht="36" customHeight="1">
      <c r="A157" s="10" t="s">
        <v>381</v>
      </c>
      <c r="B157" s="10" t="s">
        <v>373</v>
      </c>
      <c r="C157" s="11" t="s">
        <v>374</v>
      </c>
      <c r="D157" s="12" t="s">
        <v>13</v>
      </c>
      <c r="E157" s="12">
        <v>2005</v>
      </c>
      <c r="F157" s="13">
        <v>239</v>
      </c>
      <c r="G157" s="14">
        <v>7.28</v>
      </c>
      <c r="H157" s="12" t="s">
        <v>382</v>
      </c>
      <c r="I157" s="15" t="str">
        <f>HYPERLINK("https://www.tienda-institutpaulofreire.com/laboratori05.html","Ver ficha")</f>
        <v>Ver ficha</v>
      </c>
      <c r="J157" s="15" t="str">
        <f>HYPERLINK("https://www.tienda-institutpaulofreire.com/images/leg/leg003.png","Ver portada")</f>
        <v>Ver portada</v>
      </c>
    </row>
    <row r="158" ht="21" customHeight="1">
      <c r="A158" s="4" t="s">
        <v>383</v>
      </c>
      <c r="B158" s="4" t="s">
        <v>384</v>
      </c>
      <c r="C158" s="5" t="s">
        <v>374</v>
      </c>
      <c r="D158" s="6" t="s">
        <v>70</v>
      </c>
      <c r="E158" s="6">
        <v>2005</v>
      </c>
      <c r="F158" s="7">
        <v>53</v>
      </c>
      <c r="G158" s="8">
        <v>3.12</v>
      </c>
      <c r="H158" s="6"/>
      <c r="I158" s="9" t="str">
        <f>HYPERLINK("https://www.tienda-institutpaulofreire.com/laboratori06.html","Ver ficha")</f>
        <v>Ver ficha</v>
      </c>
      <c r="J158" s="9" t="str">
        <f>HYPERLINK("https://www.tienda-institutpaulofreire.com/images/leg/sep003.png","Ver portada")</f>
        <v>Ver portada</v>
      </c>
    </row>
    <row r="159" ht="21" customHeight="1">
      <c r="A159" s="10" t="s">
        <v>385</v>
      </c>
      <c r="B159" s="10" t="s">
        <v>373</v>
      </c>
      <c r="C159" s="11" t="s">
        <v>374</v>
      </c>
      <c r="D159" s="12" t="s">
        <v>13</v>
      </c>
      <c r="E159" s="12">
        <v>2006</v>
      </c>
      <c r="F159" s="13">
        <v>39</v>
      </c>
      <c r="G159" s="14">
        <v>7.28</v>
      </c>
      <c r="H159" s="12" t="s">
        <v>386</v>
      </c>
      <c r="I159" s="15" t="str">
        <f>HYPERLINK("https://www.tienda-institutpaulofreire.com/laboratori07.html","Ver ficha")</f>
        <v>Ver ficha</v>
      </c>
      <c r="J159" s="15" t="str">
        <f>HYPERLINK("https://www.tienda-institutpaulofreire.com/images/leg/leg004.png","Ver portada")</f>
        <v>Ver portada</v>
      </c>
    </row>
    <row r="160" ht="36" customHeight="1">
      <c r="A160" s="4" t="s">
        <v>387</v>
      </c>
      <c r="B160" s="4"/>
      <c r="C160" s="5" t="s">
        <v>374</v>
      </c>
      <c r="D160" s="6" t="s">
        <v>70</v>
      </c>
      <c r="E160" s="6"/>
      <c r="F160" s="7"/>
      <c r="G160" s="8"/>
      <c r="H160" s="6"/>
      <c r="I160" s="9" t="str">
        <f>HYPERLINK("https://www.tienda-institutpaulofreire.com/laboratori08.html","Ver ficha")</f>
        <v>Ver ficha</v>
      </c>
      <c r="J160" s="9" t="str">
        <f>HYPERLINK("https://www.tienda-institutpaulofreire.com/images/leg/sep004.png","Ver portada")</f>
        <v>Ver portada</v>
      </c>
    </row>
    <row r="161" ht="21" customHeight="1">
      <c r="A161" s="10" t="s">
        <v>388</v>
      </c>
      <c r="B161" s="10" t="s">
        <v>373</v>
      </c>
      <c r="C161" s="11" t="s">
        <v>374</v>
      </c>
      <c r="D161" s="12" t="s">
        <v>13</v>
      </c>
      <c r="E161" s="12">
        <v>2007</v>
      </c>
      <c r="F161" s="13">
        <v>238</v>
      </c>
      <c r="G161" s="14">
        <v>7.28</v>
      </c>
      <c r="H161" s="12" t="s">
        <v>389</v>
      </c>
      <c r="I161" s="15" t="str">
        <f>HYPERLINK("https://www.tienda-institutpaulofreire.com/laboratori09.html","Ver ficha")</f>
        <v>Ver ficha</v>
      </c>
      <c r="J161" s="15" t="str">
        <f>HYPERLINK("https://www.tienda-institutpaulofreire.com/images/leg/leg005.png","Ver portada")</f>
        <v>Ver portada</v>
      </c>
    </row>
    <row r="162" ht="21" customHeight="1">
      <c r="A162" s="4" t="s">
        <v>390</v>
      </c>
      <c r="B162" s="4"/>
      <c r="C162" s="5" t="s">
        <v>374</v>
      </c>
      <c r="D162" s="6" t="s">
        <v>13</v>
      </c>
      <c r="E162" s="6"/>
      <c r="F162" s="7"/>
      <c r="G162" s="8">
        <v>3.12</v>
      </c>
      <c r="H162" s="6"/>
      <c r="I162" s="9" t="str">
        <f>HYPERLINK("https://www.tienda-institutpaulofreire.com/laboratori10.html","Ver ficha")</f>
        <v>Ver ficha</v>
      </c>
      <c r="J162" s="9" t="str">
        <f>HYPERLINK("https://www.tienda-institutpaulofreire.com/images/leg/sep005.png","Ver portada")</f>
        <v>Ver portada</v>
      </c>
    </row>
    <row r="163" ht="21" customHeight="1">
      <c r="A163" s="10" t="s">
        <v>391</v>
      </c>
      <c r="B163" s="10" t="s">
        <v>373</v>
      </c>
      <c r="C163" s="11" t="s">
        <v>374</v>
      </c>
      <c r="D163" s="12" t="s">
        <v>13</v>
      </c>
      <c r="E163" s="12">
        <v>2008</v>
      </c>
      <c r="F163" s="13">
        <v>189</v>
      </c>
      <c r="G163" s="14">
        <v>7.28</v>
      </c>
      <c r="H163" s="12" t="s">
        <v>392</v>
      </c>
      <c r="I163" s="15" t="str">
        <f>HYPERLINK("https://www.tienda-institutpaulofreire.com/laboratori11.html","Ver ficha")</f>
        <v>Ver ficha</v>
      </c>
      <c r="J163" s="15" t="str">
        <f>HYPERLINK("https://www.tienda-institutpaulofreire.com/images/leg/leg006.png","Ver portada")</f>
        <v>Ver portada</v>
      </c>
    </row>
    <row r="164" ht="36" customHeight="1">
      <c r="A164" s="4" t="s">
        <v>393</v>
      </c>
      <c r="B164" s="4"/>
      <c r="C164" s="5" t="s">
        <v>374</v>
      </c>
      <c r="D164" s="6" t="s">
        <v>70</v>
      </c>
      <c r="E164" s="6"/>
      <c r="F164" s="7"/>
      <c r="G164" s="8">
        <v>3.12</v>
      </c>
      <c r="H164" s="6"/>
      <c r="I164" s="9" t="str">
        <f>HYPERLINK("https://www.tienda-institutpaulofreire.com/laboratori12.html","Ver ficha")</f>
        <v>Ver ficha</v>
      </c>
      <c r="J164" s="9" t="str">
        <f>HYPERLINK("https://www.tienda-institutpaulofreire.com/images/leg/sep006.png","Ver portada")</f>
        <v>Ver portada</v>
      </c>
    </row>
    <row r="165" ht="36" customHeight="1">
      <c r="A165" s="10" t="s">
        <v>394</v>
      </c>
      <c r="B165" s="10" t="s">
        <v>373</v>
      </c>
      <c r="C165" s="11" t="s">
        <v>374</v>
      </c>
      <c r="D165" s="12" t="s">
        <v>13</v>
      </c>
      <c r="E165" s="12">
        <v>2009</v>
      </c>
      <c r="F165" s="13">
        <v>204</v>
      </c>
      <c r="G165" s="14">
        <v>7.28</v>
      </c>
      <c r="H165" s="12" t="s">
        <v>395</v>
      </c>
      <c r="I165" s="15" t="str">
        <f>HYPERLINK("https://www.tienda-institutpaulofreire.com/laboratori13.html","Ver ficha")</f>
        <v>Ver ficha</v>
      </c>
      <c r="J165" s="15" t="str">
        <f>HYPERLINK("https://www.tienda-institutpaulofreire.com/images/leg/leg007.png","Ver portada")</f>
        <v>Ver portada</v>
      </c>
    </row>
    <row r="166" ht="21" customHeight="1">
      <c r="A166" s="4" t="s">
        <v>396</v>
      </c>
      <c r="B166" s="4"/>
      <c r="C166" s="5" t="s">
        <v>374</v>
      </c>
      <c r="D166" s="6" t="s">
        <v>13</v>
      </c>
      <c r="E166" s="6"/>
      <c r="F166" s="7"/>
      <c r="G166" s="8">
        <v>3.12</v>
      </c>
      <c r="H166" s="6"/>
      <c r="I166" s="9" t="str">
        <f>HYPERLINK("https://www.tienda-institutpaulofreire.com/laboratori14.html","Ver ficha")</f>
        <v>Ver ficha</v>
      </c>
      <c r="J166" s="9" t="str">
        <f>HYPERLINK("https://www.tienda-institutpaulofreire.com/images/leg/sep007.png","Ver portada")</f>
        <v>Ver portada</v>
      </c>
    </row>
    <row r="167" ht="21" customHeight="1">
      <c r="A167" s="10" t="s">
        <v>397</v>
      </c>
      <c r="B167" s="10" t="s">
        <v>216</v>
      </c>
      <c r="C167" s="11" t="s">
        <v>374</v>
      </c>
      <c r="D167" s="12" t="s">
        <v>13</v>
      </c>
      <c r="E167" s="12">
        <v>2010</v>
      </c>
      <c r="F167" s="13">
        <v>230</v>
      </c>
      <c r="G167" s="14">
        <v>7.28</v>
      </c>
      <c r="H167" s="12" t="s">
        <v>217</v>
      </c>
      <c r="I167" s="15" t="str">
        <f>HYPERLINK("https://www.tienda-institutpaulofreire.com/laboratori15.html","Ver ficha")</f>
        <v>Ver ficha</v>
      </c>
      <c r="J167" s="15" t="str">
        <f>HYPERLINK("https://www.tienda-institutpaulofreire.com/images/leg/leg008.png","Ver portada")</f>
        <v>Ver portada</v>
      </c>
    </row>
    <row r="168" ht="21" customHeight="1">
      <c r="A168" s="4" t="s">
        <v>221</v>
      </c>
      <c r="B168" s="4" t="s">
        <v>222</v>
      </c>
      <c r="C168" s="5" t="s">
        <v>374</v>
      </c>
      <c r="D168" s="6" t="s">
        <v>13</v>
      </c>
      <c r="E168" s="6">
        <v>2011</v>
      </c>
      <c r="F168" s="7">
        <v>125</v>
      </c>
      <c r="G168" s="8">
        <v>7.28</v>
      </c>
      <c r="H168" s="6" t="s">
        <v>223</v>
      </c>
      <c r="I168" s="9" t="str">
        <f>HYPERLINK("https://www.tienda-institutpaulofreire.com/laboratori16.html","Ver ficha")</f>
        <v>Ver ficha</v>
      </c>
      <c r="J168" s="9" t="str">
        <f>HYPERLINK("https://www.tienda-institutpaulofreire.com/images/leg/leg009.png","Ver portada")</f>
        <v>Ver portada</v>
      </c>
    </row>
    <row r="169" ht="21" customHeight="1">
      <c r="A169" s="10" t="s">
        <v>398</v>
      </c>
      <c r="B169" s="10"/>
      <c r="C169" s="11" t="s">
        <v>374</v>
      </c>
      <c r="D169" s="12" t="s">
        <v>13</v>
      </c>
      <c r="E169" s="12"/>
      <c r="F169" s="13"/>
      <c r="G169" s="14">
        <v>3.12</v>
      </c>
      <c r="H169" s="12"/>
      <c r="I169" s="15" t="str">
        <f>HYPERLINK("https://www.tienda-institutpaulofreire.com/laboratori17.html","Ver ficha")</f>
        <v>Ver ficha</v>
      </c>
      <c r="J169" s="15" t="str">
        <f>HYPERLINK("https://www.tienda-institutpaulofreire.com/images/leg/sep009.png","Ver portada")</f>
        <v>Ver portada</v>
      </c>
    </row>
    <row r="170" ht="21" customHeight="1">
      <c r="A170" s="4" t="s">
        <v>399</v>
      </c>
      <c r="B170" s="4"/>
      <c r="C170" s="5" t="s">
        <v>374</v>
      </c>
      <c r="D170" s="6" t="s">
        <v>13</v>
      </c>
      <c r="E170" s="6"/>
      <c r="F170" s="7"/>
      <c r="G170" s="8">
        <v>3.12</v>
      </c>
      <c r="H170" s="6"/>
      <c r="I170" s="9" t="str">
        <f>HYPERLINK("https://www.tienda-institutpaulofreire.com/laboratori18.html","Ver ficha")</f>
        <v>Ver ficha</v>
      </c>
      <c r="J170" s="9" t="str">
        <f>HYPERLINK("https://www.tienda-institutpaulofreire.com/images/leg/sep010.png","Ver portada")</f>
        <v>Ver portada</v>
      </c>
    </row>
    <row r="171" ht="51" customHeight="1">
      <c r="A171" s="10" t="s">
        <v>400</v>
      </c>
      <c r="B171" s="10" t="s">
        <v>401</v>
      </c>
      <c r="C171" s="11" t="s">
        <v>374</v>
      </c>
      <c r="D171" s="12" t="s">
        <v>13</v>
      </c>
      <c r="E171" s="12"/>
      <c r="F171" s="13"/>
      <c r="G171" s="14">
        <v>3.12</v>
      </c>
      <c r="H171" s="12"/>
      <c r="I171" s="15" t="str">
        <f>HYPERLINK("https://www.tienda-institutpaulofreire.com/laboratori19.html","Ver ficha")</f>
        <v>Ver ficha</v>
      </c>
      <c r="J171" s="15" t="str">
        <f>HYPERLINK("https://www.tienda-institutpaulofreire.com/images/leg/sep011.png","Ver portada")</f>
        <v>Ver portada</v>
      </c>
    </row>
    <row r="172" ht="21" customHeight="1">
      <c r="A172" s="4" t="s">
        <v>402</v>
      </c>
      <c r="B172" s="4" t="s">
        <v>403</v>
      </c>
      <c r="C172" s="5" t="s">
        <v>404</v>
      </c>
      <c r="D172" s="6" t="s">
        <v>70</v>
      </c>
      <c r="E172" s="6">
        <v>2007</v>
      </c>
      <c r="F172" s="7">
        <v>149</v>
      </c>
      <c r="G172" s="8">
        <v>13.52</v>
      </c>
      <c r="H172" s="6" t="s">
        <v>405</v>
      </c>
      <c r="I172" s="9" t="str">
        <f>HYPERLINK("https://www.tienda-institutpaulofreire.com/materials01.html","Ver ficha")</f>
        <v>Ver ficha</v>
      </c>
      <c r="J172" s="9" t="str">
        <f>HYPERLINK("https://www.tienda-institutpaulofreire.com/images/materiales/mat001.png","Ver portada")</f>
        <v>Ver portada</v>
      </c>
    </row>
    <row r="173" ht="36" customHeight="1">
      <c r="A173" s="10" t="s">
        <v>406</v>
      </c>
      <c r="B173" s="10"/>
      <c r="C173" s="11" t="s">
        <v>404</v>
      </c>
      <c r="D173" s="12" t="s">
        <v>70</v>
      </c>
      <c r="E173" s="12">
        <v>2007</v>
      </c>
      <c r="F173" s="13">
        <v>61</v>
      </c>
      <c r="G173" s="14">
        <v>13.52</v>
      </c>
      <c r="H173" s="12" t="s">
        <v>308</v>
      </c>
      <c r="I173" s="15" t="str">
        <f>HYPERLINK("https://www.tienda-institutpaulofreire.com/materials02.html","Ver ficha")</f>
        <v>Ver ficha</v>
      </c>
      <c r="J173" s="15" t="str">
        <f>HYPERLINK("https://www.tienda-institutpaulofreire.com/images/materiales/mat002.png","Ver portada")</f>
        <v>Ver portada</v>
      </c>
    </row>
    <row r="174" ht="66" customHeight="1">
      <c r="A174" s="4" t="s">
        <v>208</v>
      </c>
      <c r="B174" s="4" t="s">
        <v>209</v>
      </c>
      <c r="C174" s="5" t="s">
        <v>404</v>
      </c>
      <c r="D174" s="6" t="s">
        <v>70</v>
      </c>
      <c r="E174" s="6">
        <v>2009</v>
      </c>
      <c r="F174" s="7">
        <v>72</v>
      </c>
      <c r="G174" s="8">
        <v>13.52</v>
      </c>
      <c r="H174" s="6" t="s">
        <v>210</v>
      </c>
      <c r="I174" s="9" t="str">
        <f>HYPERLINK("https://www.tienda-institutpaulofreire.com/materials03.html","Ver ficha")</f>
        <v>Ver ficha</v>
      </c>
      <c r="J174" s="9" t="str">
        <f>HYPERLINK("https://www.tienda-institutpaulofreire.com/images/materiales/mat003.png","Ver portada")</f>
        <v>Ver portada</v>
      </c>
    </row>
    <row r="175" ht="66" customHeight="1">
      <c r="A175" s="10" t="s">
        <v>407</v>
      </c>
      <c r="B175" s="10" t="s">
        <v>209</v>
      </c>
      <c r="C175" s="11" t="s">
        <v>404</v>
      </c>
      <c r="D175" s="12" t="s">
        <v>70</v>
      </c>
      <c r="E175" s="12">
        <v>2009</v>
      </c>
      <c r="F175" s="13">
        <v>72</v>
      </c>
      <c r="G175" s="14">
        <v>13.52</v>
      </c>
      <c r="H175" s="12" t="s">
        <v>210</v>
      </c>
      <c r="I175" s="15" t="str">
        <f>HYPERLINK("https://www.tienda-institutpaulofreire.com/materials04.html","Ver ficha")</f>
        <v>Ver ficha</v>
      </c>
      <c r="J175" s="15" t="str">
        <f>HYPERLINK("https://www.tienda-institutpaulofreire.com/images/materiales/mat004.png","Ver portada")</f>
        <v>Ver portada</v>
      </c>
    </row>
    <row r="176" ht="36" customHeight="1">
      <c r="A176" s="4" t="s">
        <v>408</v>
      </c>
      <c r="B176" s="4" t="s">
        <v>409</v>
      </c>
      <c r="C176" s="5" t="s">
        <v>404</v>
      </c>
      <c r="D176" s="6" t="s">
        <v>13</v>
      </c>
      <c r="E176" s="6">
        <v>2007</v>
      </c>
      <c r="F176" s="7">
        <v>177</v>
      </c>
      <c r="G176" s="8">
        <v>13.52</v>
      </c>
      <c r="H176" s="6" t="s">
        <v>410</v>
      </c>
      <c r="I176" s="9" t="str">
        <f>HYPERLINK("https://www.tienda-institutpaulofreire.com/materials05.html","Ver ficha")</f>
        <v>Ver ficha</v>
      </c>
      <c r="J176" s="9" t="str">
        <f>HYPERLINK("https://www.tienda-institutpaulofreire.com/images/materiales/mat005.png","Ver portada")</f>
        <v>Ver portada</v>
      </c>
    </row>
    <row r="177" ht="36" customHeight="1">
      <c r="A177" s="10" t="s">
        <v>411</v>
      </c>
      <c r="B177" s="10" t="s">
        <v>327</v>
      </c>
      <c r="C177" s="11" t="s">
        <v>412</v>
      </c>
      <c r="D177" s="12" t="s">
        <v>70</v>
      </c>
      <c r="E177" s="12">
        <v>1998</v>
      </c>
      <c r="F177" s="13">
        <v>173</v>
      </c>
      <c r="G177" s="14">
        <v>9.36</v>
      </c>
      <c r="H177" s="12" t="s">
        <v>413</v>
      </c>
      <c r="I177" s="15" t="str">
        <f>HYPERLINK("https://www.tienda-institutpaulofreire.com/plecs01.html","Ver ficha")</f>
        <v>Ver ficha</v>
      </c>
      <c r="J177" s="15" t="str">
        <f>HYPERLINK("https://www.tienda-institutpaulofreire.com/images/plecs/01.png","Ver portada")</f>
        <v>Ver portada</v>
      </c>
    </row>
    <row r="178" ht="36" customHeight="1">
      <c r="A178" s="4" t="s">
        <v>414</v>
      </c>
      <c r="B178" s="4" t="s">
        <v>415</v>
      </c>
      <c r="C178" s="5" t="s">
        <v>412</v>
      </c>
      <c r="D178" s="6" t="s">
        <v>70</v>
      </c>
      <c r="E178" s="6">
        <v>2003</v>
      </c>
      <c r="F178" s="7">
        <v>132</v>
      </c>
      <c r="G178" s="8">
        <v>9.36</v>
      </c>
      <c r="H178" s="6" t="s">
        <v>416</v>
      </c>
      <c r="I178" s="9" t="str">
        <f>HYPERLINK("https://www.tienda-institutpaulofreire.com/plecs02.html","Ver ficha")</f>
        <v>Ver ficha</v>
      </c>
      <c r="J178" s="9" t="str">
        <f>HYPERLINK("https://www.tienda-institutpaulofreire.com/images/plecs/02.png","Ver portada")</f>
        <v>Ver portada</v>
      </c>
    </row>
    <row r="179" ht="36" customHeight="1">
      <c r="A179" s="10" t="s">
        <v>417</v>
      </c>
      <c r="B179" s="10" t="s">
        <v>415</v>
      </c>
      <c r="C179" s="11" t="s">
        <v>412</v>
      </c>
      <c r="D179" s="12" t="s">
        <v>70</v>
      </c>
      <c r="E179" s="12">
        <v>2004</v>
      </c>
      <c r="F179" s="13">
        <v>179</v>
      </c>
      <c r="G179" s="14">
        <v>9.36</v>
      </c>
      <c r="H179" s="12" t="s">
        <v>418</v>
      </c>
      <c r="I179" s="15" t="str">
        <f>HYPERLINK("https://www.tienda-institutpaulofreire.com/plecs03.html","Ver ficha")</f>
        <v>Ver ficha</v>
      </c>
      <c r="J179" s="15" t="str">
        <f>HYPERLINK("https://www.tienda-institutpaulofreire.com/images/plecs/03.png","Ver portada")</f>
        <v>Ver portada</v>
      </c>
    </row>
    <row r="180" ht="36" customHeight="1">
      <c r="A180" s="4" t="s">
        <v>419</v>
      </c>
      <c r="B180" s="4" t="s">
        <v>415</v>
      </c>
      <c r="C180" s="5" t="s">
        <v>412</v>
      </c>
      <c r="D180" s="6" t="s">
        <v>70</v>
      </c>
      <c r="E180" s="6">
        <v>2007</v>
      </c>
      <c r="F180" s="7">
        <v>219</v>
      </c>
      <c r="G180" s="8">
        <v>9.36</v>
      </c>
      <c r="H180" s="6" t="s">
        <v>420</v>
      </c>
      <c r="I180" s="9" t="str">
        <f>HYPERLINK("https://www.tienda-institutpaulofreire.com/plecs04.html","Ver ficha")</f>
        <v>Ver ficha</v>
      </c>
      <c r="J180" s="9" t="str">
        <f>HYPERLINK("https://www.tienda-institutpaulofreire.com/images/plecs/04.png","Ver portada")</f>
        <v>Ver portada</v>
      </c>
    </row>
    <row r="181" ht="51" customHeight="1">
      <c r="A181" s="10" t="s">
        <v>421</v>
      </c>
      <c r="B181" s="10" t="s">
        <v>415</v>
      </c>
      <c r="C181" s="11" t="s">
        <v>412</v>
      </c>
      <c r="D181" s="12" t="s">
        <v>70</v>
      </c>
      <c r="E181" s="12"/>
      <c r="F181" s="13"/>
      <c r="G181" s="14">
        <v>9.36</v>
      </c>
      <c r="H181" s="12"/>
      <c r="I181" s="15" t="str">
        <f>HYPERLINK("https://www.tienda-institutpaulofreire.com/plecs05.html","Ver ficha")</f>
        <v>Ver ficha</v>
      </c>
      <c r="J181" s="15" t="str">
        <f>HYPERLINK("https://www.tienda-institutpaulofreire.com/images/plecs/05.png","Ver portada")</f>
        <v>Ver portada</v>
      </c>
    </row>
    <row r="182" ht="36" customHeight="1">
      <c r="A182" s="4" t="s">
        <v>422</v>
      </c>
      <c r="B182" s="4" t="s">
        <v>423</v>
      </c>
      <c r="C182" s="5" t="s">
        <v>424</v>
      </c>
      <c r="D182" s="6" t="s">
        <v>13</v>
      </c>
      <c r="E182" s="6">
        <v>2009</v>
      </c>
      <c r="F182" s="7">
        <v>72</v>
      </c>
      <c r="G182" s="8">
        <v>9.36</v>
      </c>
      <c r="H182" s="6" t="s">
        <v>425</v>
      </c>
      <c r="I182" s="9" t="str">
        <f>HYPERLINK("https://www.tienda-institutpaulofreire.com/catedra01.html","Ver ficha")</f>
        <v>Ver ficha</v>
      </c>
      <c r="J182" s="9" t="str">
        <f>HYPERLINK("https://www.tienda-institutpaulofreire.com/images/pcpf/cpf001.png","Ver portada")</f>
        <v>Ver portada</v>
      </c>
    </row>
    <row r="183" ht="21" customHeight="1">
      <c r="A183" s="10" t="s">
        <v>426</v>
      </c>
      <c r="B183" s="10" t="s">
        <v>327</v>
      </c>
      <c r="C183" s="11" t="s">
        <v>424</v>
      </c>
      <c r="D183" s="12" t="s">
        <v>13</v>
      </c>
      <c r="E183" s="12">
        <v>2010</v>
      </c>
      <c r="F183" s="13">
        <v>126</v>
      </c>
      <c r="G183" s="14">
        <v>9.36</v>
      </c>
      <c r="H183" s="12" t="s">
        <v>427</v>
      </c>
      <c r="I183" s="15" t="str">
        <f>HYPERLINK("https://www.tienda-institutpaulofreire.com/catedra02.html","Ver ficha")</f>
        <v>Ver ficha</v>
      </c>
      <c r="J183" s="15" t="str">
        <f>HYPERLINK("https://www.tienda-institutpaulofreire.com/images/pcpf/cpf002.png","Ver portada")</f>
        <v>Ver portada</v>
      </c>
    </row>
    <row r="184" ht="36" customHeight="1">
      <c r="A184" s="4" t="s">
        <v>428</v>
      </c>
      <c r="B184" s="4" t="s">
        <v>244</v>
      </c>
      <c r="C184" s="5" t="s">
        <v>424</v>
      </c>
      <c r="D184" s="6" t="s">
        <v>13</v>
      </c>
      <c r="E184" s="6">
        <v>2010</v>
      </c>
      <c r="F184" s="7">
        <v>186</v>
      </c>
      <c r="G184" s="8">
        <v>9.36</v>
      </c>
      <c r="H184" s="6" t="s">
        <v>429</v>
      </c>
      <c r="I184" s="9" t="str">
        <f>HYPERLINK("https://www.tienda-institutpaulofreire.com/catedra03.html","Ver ficha")</f>
        <v>Ver ficha</v>
      </c>
      <c r="J184" s="9" t="str">
        <f>HYPERLINK("https://www.tienda-institutpaulofreire.com/images/pcpf/cpf003.png","Ver portada")</f>
        <v>Ver portada</v>
      </c>
    </row>
    <row r="185" ht="36" customHeight="1">
      <c r="A185" s="10" t="s">
        <v>430</v>
      </c>
      <c r="B185" s="10" t="s">
        <v>431</v>
      </c>
      <c r="C185" s="11" t="s">
        <v>424</v>
      </c>
      <c r="D185" s="12" t="s">
        <v>13</v>
      </c>
      <c r="E185" s="12">
        <v>2011</v>
      </c>
      <c r="F185" s="13">
        <v>123</v>
      </c>
      <c r="G185" s="14">
        <v>9.36</v>
      </c>
      <c r="H185" s="12" t="s">
        <v>432</v>
      </c>
      <c r="I185" s="15" t="str">
        <f>HYPERLINK("https://www.tienda-institutpaulofreire.com/catedra04.html","Ver ficha")</f>
        <v>Ver ficha</v>
      </c>
      <c r="J185" s="15" t="str">
        <f>HYPERLINK("https://www.tienda-institutpaulofreire.com/images/pcpf/cpf004.png","Ver portada")</f>
        <v>Ver portada</v>
      </c>
    </row>
    <row r="186" ht="21" customHeight="1">
      <c r="A186" s="4" t="s">
        <v>433</v>
      </c>
      <c r="B186" s="4" t="s">
        <v>434</v>
      </c>
      <c r="C186" s="5" t="s">
        <v>424</v>
      </c>
      <c r="D186" s="6" t="s">
        <v>13</v>
      </c>
      <c r="E186" s="6"/>
      <c r="F186" s="7">
        <v>201</v>
      </c>
      <c r="G186" s="8">
        <v>18.72</v>
      </c>
      <c r="H186" s="6" t="s">
        <v>331</v>
      </c>
      <c r="I186" s="9" t="str">
        <f>HYPERLINK("https://www.tienda-institutpaulofreire.com/catedra05.html","Ver ficha")</f>
        <v>Ver ficha</v>
      </c>
      <c r="J186" s="9" t="str">
        <f>HYPERLINK("https://www.tienda-institutpaulofreire.com/images/pcpf/cpf005.png","Ver portada")</f>
        <v>Ver portada</v>
      </c>
    </row>
    <row r="187" ht="36" customHeight="1">
      <c r="A187" s="10" t="s">
        <v>435</v>
      </c>
      <c r="B187" s="10" t="s">
        <v>431</v>
      </c>
      <c r="C187" s="11" t="s">
        <v>424</v>
      </c>
      <c r="D187" s="12" t="s">
        <v>13</v>
      </c>
      <c r="E187" s="12"/>
      <c r="F187" s="13">
        <v>136</v>
      </c>
      <c r="G187" s="14">
        <v>9.36</v>
      </c>
      <c r="H187" s="12" t="s">
        <v>436</v>
      </c>
      <c r="I187" s="15" t="str">
        <f>HYPERLINK("https://www.tienda-institutpaulofreire.com/catedra06.html","Ver ficha")</f>
        <v>Ver ficha</v>
      </c>
      <c r="J187" s="15" t="str">
        <f>HYPERLINK("https://www.tienda-institutpaulofreire.com/images/pcpf/cpf006.png","Ver portada")</f>
        <v>Ver portada</v>
      </c>
    </row>
    <row r="188" ht="36" customHeight="1">
      <c r="A188" s="4" t="s">
        <v>437</v>
      </c>
      <c r="B188" s="4" t="s">
        <v>431</v>
      </c>
      <c r="C188" s="5" t="s">
        <v>424</v>
      </c>
      <c r="D188" s="6" t="s">
        <v>13</v>
      </c>
      <c r="E188" s="6"/>
      <c r="F188" s="7">
        <v>136</v>
      </c>
      <c r="G188" s="8">
        <v>9.36</v>
      </c>
      <c r="H188" s="6" t="s">
        <v>436</v>
      </c>
      <c r="I188" s="9" t="str">
        <f>HYPERLINK("https://www.tienda-institutpaulofreire.com/catedra07.html","Ver ficha")</f>
        <v>Ver ficha</v>
      </c>
      <c r="J188" s="9" t="str">
        <f>HYPERLINK("https://www.tienda-institutpaulofreire.com/images/pcpf/cpf007.png","Ver portada")</f>
        <v>Ver portada</v>
      </c>
    </row>
    <row r="189" ht="36" customHeight="1">
      <c r="A189" s="10" t="s">
        <v>438</v>
      </c>
      <c r="B189" s="10" t="s">
        <v>439</v>
      </c>
      <c r="C189" s="11" t="s">
        <v>424</v>
      </c>
      <c r="D189" s="12" t="s">
        <v>13</v>
      </c>
      <c r="E189" s="12">
        <v>2014</v>
      </c>
      <c r="F189" s="13"/>
      <c r="G189" s="14">
        <v>18.72</v>
      </c>
      <c r="H189" s="12"/>
      <c r="I189" s="15" t="str">
        <f>HYPERLINK("https://www.tienda-institutpaulofreire.com/catedra08.html","Ver ficha")</f>
        <v>Ver ficha</v>
      </c>
      <c r="J189" s="15" t="str">
        <f>HYPERLINK("https://www.tienda-institutpaulofreire.com/images/pcpf/cpf008.png","Ver portada")</f>
        <v>Ver portada</v>
      </c>
    </row>
    <row r="190" ht="36" customHeight="1">
      <c r="A190" s="4" t="s">
        <v>440</v>
      </c>
      <c r="B190" s="4" t="s">
        <v>441</v>
      </c>
      <c r="C190" s="5" t="s">
        <v>424</v>
      </c>
      <c r="D190" s="6" t="s">
        <v>13</v>
      </c>
      <c r="E190" s="6"/>
      <c r="F190" s="7"/>
      <c r="G190" s="8">
        <v>9.36</v>
      </c>
      <c r="H190" s="6"/>
      <c r="I190" s="9" t="str">
        <f>HYPERLINK("https://www.tienda-institutpaulofreire.com/catedra09.html","Ver ficha")</f>
        <v>Ver ficha</v>
      </c>
      <c r="J190" s="9" t="str">
        <f>HYPERLINK("https://www.tienda-institutpaulofreire.com/images/pcpf/cpf009.png","Ver portada")</f>
        <v>Ver portada</v>
      </c>
    </row>
    <row r="191" ht="36" customHeight="1">
      <c r="A191" s="10" t="s">
        <v>442</v>
      </c>
      <c r="B191" s="10" t="s">
        <v>439</v>
      </c>
      <c r="C191" s="11" t="s">
        <v>424</v>
      </c>
      <c r="D191" s="12" t="s">
        <v>13</v>
      </c>
      <c r="E191" s="12"/>
      <c r="F191" s="13"/>
      <c r="G191" s="14">
        <v>18.72</v>
      </c>
      <c r="H191" s="12"/>
      <c r="I191" s="15" t="str">
        <f>HYPERLINK("https://www.tienda-institutpaulofreire.com/catedra10.html","Ver ficha")</f>
        <v>Ver ficha</v>
      </c>
      <c r="J191" s="15" t="str">
        <f>HYPERLINK("https://www.tienda-institutpaulofreire.com/images/pcpf/cpf010.png","Ver portada")</f>
        <v>Ver portada</v>
      </c>
    </row>
    <row r="192" ht="36" customHeight="1">
      <c r="A192" s="4" t="s">
        <v>443</v>
      </c>
      <c r="B192" s="4" t="s">
        <v>444</v>
      </c>
      <c r="C192" s="5" t="s">
        <v>424</v>
      </c>
      <c r="D192" s="6" t="s">
        <v>13</v>
      </c>
      <c r="E192" s="6"/>
      <c r="F192" s="7"/>
      <c r="G192" s="8">
        <v>18.72</v>
      </c>
      <c r="H192" s="6" t="s">
        <v>445</v>
      </c>
      <c r="I192" s="9" t="str">
        <f>HYPERLINK("https://www.tienda-institutpaulofreire.com/catedra11.html","Ver ficha")</f>
        <v>Ver ficha</v>
      </c>
      <c r="J192" s="9" t="str">
        <f>HYPERLINK("https://www.tienda-institutpaulofreire.com/images/pcpf/cpf011.png","Ver portada")</f>
        <v>Ver portada</v>
      </c>
    </row>
    <row r="193" ht="36" customHeight="1">
      <c r="A193" s="10" t="s">
        <v>446</v>
      </c>
      <c r="B193" s="10" t="s">
        <v>447</v>
      </c>
      <c r="C193" s="11" t="s">
        <v>424</v>
      </c>
      <c r="D193" s="12" t="s">
        <v>13</v>
      </c>
      <c r="E193" s="12"/>
      <c r="F193" s="13"/>
      <c r="G193" s="14">
        <v>18.72</v>
      </c>
      <c r="H193" s="12" t="s">
        <v>448</v>
      </c>
      <c r="I193" s="15" t="str">
        <f>HYPERLINK("https://www.tienda-institutpaulofreire.com/catedra12.html","Ver ficha")</f>
        <v>Ver ficha</v>
      </c>
      <c r="J193" s="15" t="str">
        <f>HYPERLINK("https://www.tienda-institutpaulofreire.com/images/pcpf/cpf012.png","Ver portada")</f>
        <v>Ver portada</v>
      </c>
    </row>
    <row r="194" ht="36" customHeight="1">
      <c r="A194" s="4" t="s">
        <v>449</v>
      </c>
      <c r="B194" s="4" t="s">
        <v>447</v>
      </c>
      <c r="C194" s="5" t="s">
        <v>424</v>
      </c>
      <c r="D194" s="6" t="s">
        <v>13</v>
      </c>
      <c r="E194" s="6"/>
      <c r="F194" s="7"/>
      <c r="G194" s="8">
        <v>18.72</v>
      </c>
      <c r="H194" s="6" t="s">
        <v>448</v>
      </c>
      <c r="I194" s="9" t="str">
        <f>HYPERLINK("https://www.tienda-institutpaulofreire.com/catedra13.html","Ver ficha")</f>
        <v>Ver ficha</v>
      </c>
      <c r="J194" s="9" t="str">
        <f>HYPERLINK("https://www.tienda-institutpaulofreire.com/images/pcpf/cpf013.png","Ver portada")</f>
        <v>Ver portada</v>
      </c>
    </row>
    <row r="195" ht="36" customHeight="1">
      <c r="A195" s="10" t="s">
        <v>450</v>
      </c>
      <c r="B195" s="10" t="s">
        <v>447</v>
      </c>
      <c r="C195" s="11" t="s">
        <v>424</v>
      </c>
      <c r="D195" s="12" t="s">
        <v>13</v>
      </c>
      <c r="E195" s="12"/>
      <c r="F195" s="13"/>
      <c r="G195" s="14">
        <v>18.72</v>
      </c>
      <c r="H195" s="12"/>
      <c r="I195" s="15" t="str">
        <f>HYPERLINK("https://www.tienda-institutpaulofreire.com/catedra14.html","Ver ficha")</f>
        <v>Ver ficha</v>
      </c>
      <c r="J195" s="15" t="str">
        <f>HYPERLINK("https://www.tienda-institutpaulofreire.com/images/pcpf/cpf014.png","Ver portada")</f>
        <v>Ver portada</v>
      </c>
    </row>
    <row r="196" ht="36" customHeight="1">
      <c r="A196" s="4" t="s">
        <v>451</v>
      </c>
      <c r="B196" s="4" t="s">
        <v>444</v>
      </c>
      <c r="C196" s="5" t="s">
        <v>424</v>
      </c>
      <c r="D196" s="6" t="s">
        <v>13</v>
      </c>
      <c r="E196" s="6"/>
      <c r="F196" s="7"/>
      <c r="G196" s="8">
        <v>18.72</v>
      </c>
      <c r="H196" s="6"/>
      <c r="I196" s="9" t="str">
        <f>HYPERLINK("https://www.tienda-institutpaulofreire.com/catedra15.html","Ver ficha")</f>
        <v>Ver ficha</v>
      </c>
      <c r="J196" s="9" t="str">
        <f>HYPERLINK("https://www.tienda-institutpaulofreire.com/images/pcpf/cpf015.png","Ver portada")</f>
        <v>Ver portada</v>
      </c>
    </row>
    <row r="197" ht="36" customHeight="1">
      <c r="A197" s="10" t="s">
        <v>452</v>
      </c>
      <c r="B197" s="10" t="s">
        <v>447</v>
      </c>
      <c r="C197" s="11" t="s">
        <v>424</v>
      </c>
      <c r="D197" s="12" t="s">
        <v>13</v>
      </c>
      <c r="E197" s="12"/>
      <c r="F197" s="13"/>
      <c r="G197" s="14">
        <v>18.72</v>
      </c>
      <c r="H197" s="12"/>
      <c r="I197" s="15" t="str">
        <f>HYPERLINK("https://www.tienda-institutpaulofreire.com/catedra16.html","Ver ficha")</f>
        <v>Ver ficha</v>
      </c>
      <c r="J197" s="15" t="str">
        <f>HYPERLINK("https://www.tienda-institutpaulofreire.com/images/pcpf/cpf016.png","Ver portada")</f>
        <v>Ver portada</v>
      </c>
    </row>
    <row r="198" ht="36" customHeight="1">
      <c r="A198" s="4" t="s">
        <v>453</v>
      </c>
      <c r="B198" s="4" t="s">
        <v>447</v>
      </c>
      <c r="C198" s="5" t="s">
        <v>424</v>
      </c>
      <c r="D198" s="6" t="s">
        <v>13</v>
      </c>
      <c r="E198" s="6"/>
      <c r="F198" s="7"/>
      <c r="G198" s="8">
        <v>18.72</v>
      </c>
      <c r="H198" s="6"/>
      <c r="I198" s="9" t="str">
        <f>HYPERLINK("https://www.tienda-institutpaulofreire.com/catedra17.html","Ver ficha")</f>
        <v>Ver ficha</v>
      </c>
      <c r="J198" s="9" t="str">
        <f>HYPERLINK("https://www.tienda-institutpaulofreire.com/images/pcpf/cpf017.png","Ver portada")</f>
        <v>Ver portada</v>
      </c>
    </row>
    <row r="199" ht="21" customHeight="1">
      <c r="A199" s="10" t="s">
        <v>454</v>
      </c>
      <c r="B199" s="10"/>
      <c r="C199" s="11" t="s">
        <v>455</v>
      </c>
      <c r="D199" s="12" t="s">
        <v>70</v>
      </c>
      <c r="E199" s="12"/>
      <c r="F199" s="13"/>
      <c r="G199" s="14">
        <v>9.36</v>
      </c>
      <c r="H199" s="12"/>
      <c r="I199" s="15" t="str">
        <f>HYPERLINK("https://www.tienda-institutpaulofreire.com/quaderns01.html","Ver ficha")</f>
        <v>Ver ficha</v>
      </c>
      <c r="J199" s="15" t="str">
        <f>HYPERLINK("https://www.tienda-institutpaulofreire.com/images/q_continua/01.png","Ver portada")</f>
        <v>Ver portada</v>
      </c>
    </row>
    <row r="200" ht="21" customHeight="1">
      <c r="A200" s="4" t="s">
        <v>456</v>
      </c>
      <c r="B200" s="4"/>
      <c r="C200" s="5" t="s">
        <v>455</v>
      </c>
      <c r="D200" s="6" t="s">
        <v>70</v>
      </c>
      <c r="E200" s="6"/>
      <c r="F200" s="7"/>
      <c r="G200" s="8">
        <v>9.36</v>
      </c>
      <c r="H200" s="6"/>
      <c r="I200" s="9" t="str">
        <f>HYPERLINK("https://www.tienda-institutpaulofreire.com/quaderns02.html","Ver ficha")</f>
        <v>Ver ficha</v>
      </c>
      <c r="J200" s="9" t="str">
        <f>HYPERLINK("https://www.tienda-institutpaulofreire.com/images/q_continua/02.png","Ver portada")</f>
        <v>Ver portada</v>
      </c>
    </row>
    <row r="201" ht="21" customHeight="1">
      <c r="A201" s="10" t="s">
        <v>457</v>
      </c>
      <c r="B201" s="10"/>
      <c r="C201" s="11" t="s">
        <v>455</v>
      </c>
      <c r="D201" s="12" t="s">
        <v>70</v>
      </c>
      <c r="E201" s="12"/>
      <c r="F201" s="13"/>
      <c r="G201" s="14">
        <v>9.36</v>
      </c>
      <c r="H201" s="12"/>
      <c r="I201" s="15" t="str">
        <f>HYPERLINK("https://www.tienda-institutpaulofreire.com/quaderns03.html","Ver ficha")</f>
        <v>Ver ficha</v>
      </c>
      <c r="J201" s="15" t="str">
        <f>HYPERLINK("https://www.tienda-institutpaulofreire.com/images/q_continua/03.png","Ver portada")</f>
        <v>Ver portada</v>
      </c>
    </row>
    <row r="202" ht="21" customHeight="1">
      <c r="A202" s="4" t="s">
        <v>458</v>
      </c>
      <c r="B202" s="4"/>
      <c r="C202" s="5" t="s">
        <v>455</v>
      </c>
      <c r="D202" s="6" t="s">
        <v>70</v>
      </c>
      <c r="E202" s="6"/>
      <c r="F202" s="7"/>
      <c r="G202" s="8">
        <v>9.36</v>
      </c>
      <c r="H202" s="6"/>
      <c r="I202" s="9" t="str">
        <f>HYPERLINK("https://www.tienda-institutpaulofreire.com/quaderns04.html","Ver ficha")</f>
        <v>Ver ficha</v>
      </c>
      <c r="J202" s="9" t="str">
        <f>HYPERLINK("https://www.tienda-institutpaulofreire.com/images/q_continua/04.png","Ver portada")</f>
        <v>Ver portada</v>
      </c>
    </row>
    <row r="203" ht="21" customHeight="1">
      <c r="A203" s="10" t="s">
        <v>459</v>
      </c>
      <c r="B203" s="10"/>
      <c r="C203" s="11" t="s">
        <v>455</v>
      </c>
      <c r="D203" s="12" t="s">
        <v>70</v>
      </c>
      <c r="E203" s="12"/>
      <c r="F203" s="13"/>
      <c r="G203" s="14">
        <v>9.36</v>
      </c>
      <c r="H203" s="12"/>
      <c r="I203" s="15" t="str">
        <f>HYPERLINK("https://www.tienda-institutpaulofreire.com/quaderns05.html","Ver ficha")</f>
        <v>Ver ficha</v>
      </c>
      <c r="J203" s="15" t="str">
        <f>HYPERLINK("https://www.tienda-institutpaulofreire.com/images/q_continua/05.png","Ver portada")</f>
        <v>Ver portada</v>
      </c>
    </row>
    <row r="204" ht="21" customHeight="1">
      <c r="A204" s="4" t="s">
        <v>460</v>
      </c>
      <c r="B204" s="4"/>
      <c r="C204" s="5" t="s">
        <v>455</v>
      </c>
      <c r="D204" s="6" t="s">
        <v>70</v>
      </c>
      <c r="E204" s="6"/>
      <c r="F204" s="7"/>
      <c r="G204" s="8">
        <v>9.36</v>
      </c>
      <c r="H204" s="6"/>
      <c r="I204" s="9" t="str">
        <f>HYPERLINK("https://www.tienda-institutpaulofreire.com/quaderns06.html","Ver ficha")</f>
        <v>Ver ficha</v>
      </c>
      <c r="J204" s="9" t="str">
        <f>HYPERLINK("https://www.tienda-institutpaulofreire.com/images/q_continua/06.png","Ver portada")</f>
        <v>Ver portada</v>
      </c>
    </row>
    <row r="205" ht="21" customHeight="1">
      <c r="A205" s="10" t="s">
        <v>461</v>
      </c>
      <c r="B205" s="10"/>
      <c r="C205" s="11" t="s">
        <v>455</v>
      </c>
      <c r="D205" s="12" t="s">
        <v>70</v>
      </c>
      <c r="E205" s="12"/>
      <c r="F205" s="13"/>
      <c r="G205" s="14">
        <v>9.36</v>
      </c>
      <c r="H205" s="12"/>
      <c r="I205" s="15" t="str">
        <f>HYPERLINK("https://www.tienda-institutpaulofreire.com/quaderns07.html","Ver ficha")</f>
        <v>Ver ficha</v>
      </c>
      <c r="J205" s="15" t="str">
        <f>HYPERLINK("https://www.tienda-institutpaulofreire.com/images/q_continua/07.png","Ver portada")</f>
        <v>Ver portada</v>
      </c>
    </row>
    <row r="206" ht="21" customHeight="1">
      <c r="A206" s="4" t="s">
        <v>462</v>
      </c>
      <c r="B206" s="4"/>
      <c r="C206" s="5" t="s">
        <v>455</v>
      </c>
      <c r="D206" s="6" t="s">
        <v>70</v>
      </c>
      <c r="E206" s="6"/>
      <c r="F206" s="7"/>
      <c r="G206" s="8">
        <v>9.36</v>
      </c>
      <c r="H206" s="6"/>
      <c r="I206" s="9" t="str">
        <f>HYPERLINK("https://www.tienda-institutpaulofreire.com/quaderns08.html","Ver ficha")</f>
        <v>Ver ficha</v>
      </c>
      <c r="J206" s="9" t="str">
        <f>HYPERLINK("https://www.tienda-institutpaulofreire.com/images/q_continua/08.png","Ver portada")</f>
        <v>Ver portada</v>
      </c>
    </row>
    <row r="207" ht="21" customHeight="1">
      <c r="A207" s="10" t="s">
        <v>463</v>
      </c>
      <c r="B207" s="10"/>
      <c r="C207" s="11" t="s">
        <v>455</v>
      </c>
      <c r="D207" s="12" t="s">
        <v>70</v>
      </c>
      <c r="E207" s="12"/>
      <c r="F207" s="13"/>
      <c r="G207" s="14">
        <v>9.36</v>
      </c>
      <c r="H207" s="12"/>
      <c r="I207" s="15" t="str">
        <f>HYPERLINK("https://www.tienda-institutpaulofreire.com/quaderns09.html","Ver ficha")</f>
        <v>Ver ficha</v>
      </c>
      <c r="J207" s="15" t="str">
        <f>HYPERLINK("https://www.tienda-institutpaulofreire.com/images/q_continua/09.png","Ver portada")</f>
        <v>Ver portada</v>
      </c>
    </row>
    <row r="208" ht="21" customHeight="1">
      <c r="A208" s="4" t="s">
        <v>464</v>
      </c>
      <c r="B208" s="4"/>
      <c r="C208" s="5" t="s">
        <v>455</v>
      </c>
      <c r="D208" s="6" t="s">
        <v>70</v>
      </c>
      <c r="E208" s="6"/>
      <c r="F208" s="7"/>
      <c r="G208" s="8">
        <v>9.36</v>
      </c>
      <c r="H208" s="6"/>
      <c r="I208" s="9" t="str">
        <f>HYPERLINK("https://www.tienda-institutpaulofreire.com/quaderns10.html","Ver ficha")</f>
        <v>Ver ficha</v>
      </c>
      <c r="J208" s="9" t="str">
        <f>HYPERLINK("https://www.tienda-institutpaulofreire.com/images/q_continua/10.png","Ver portada")</f>
        <v>Ver portada</v>
      </c>
    </row>
    <row r="209" ht="21" customHeight="1">
      <c r="A209" s="10" t="s">
        <v>465</v>
      </c>
      <c r="B209" s="10"/>
      <c r="C209" s="11" t="s">
        <v>455</v>
      </c>
      <c r="D209" s="12" t="s">
        <v>70</v>
      </c>
      <c r="E209" s="12"/>
      <c r="F209" s="13"/>
      <c r="G209" s="14">
        <v>9.36</v>
      </c>
      <c r="H209" s="12"/>
      <c r="I209" s="15" t="str">
        <f>HYPERLINK("https://www.tienda-institutpaulofreire.com/quaderns11.html","Ver ficha")</f>
        <v>Ver ficha</v>
      </c>
      <c r="J209" s="15" t="str">
        <f>HYPERLINK("https://www.tienda-institutpaulofreire.com/images/q_continua/11.png","Ver portada")</f>
        <v>Ver portada</v>
      </c>
    </row>
    <row r="210" ht="21" customHeight="1">
      <c r="A210" s="4" t="s">
        <v>466</v>
      </c>
      <c r="B210" s="4"/>
      <c r="C210" s="5" t="s">
        <v>455</v>
      </c>
      <c r="D210" s="6" t="s">
        <v>70</v>
      </c>
      <c r="E210" s="6"/>
      <c r="F210" s="7"/>
      <c r="G210" s="8">
        <v>9.36</v>
      </c>
      <c r="H210" s="6"/>
      <c r="I210" s="9" t="str">
        <f>HYPERLINK("https://www.tienda-institutpaulofreire.com/quaderns12.html","Ver ficha")</f>
        <v>Ver ficha</v>
      </c>
      <c r="J210" s="9" t="str">
        <f>HYPERLINK("https://www.tienda-institutpaulofreire.com/images/q_continua/12.png","Ver portada")</f>
        <v>Ver portada</v>
      </c>
    </row>
    <row r="211" ht="21" customHeight="1">
      <c r="A211" s="10" t="s">
        <v>467</v>
      </c>
      <c r="B211" s="10"/>
      <c r="C211" s="11" t="s">
        <v>455</v>
      </c>
      <c r="D211" s="12" t="s">
        <v>70</v>
      </c>
      <c r="E211" s="12"/>
      <c r="F211" s="13"/>
      <c r="G211" s="14">
        <v>9.36</v>
      </c>
      <c r="H211" s="12"/>
      <c r="I211" s="15" t="str">
        <f>HYPERLINK("https://www.tienda-institutpaulofreire.com/quaderns13.html","Ver ficha")</f>
        <v>Ver ficha</v>
      </c>
      <c r="J211" s="15" t="str">
        <f>HYPERLINK("https://www.tienda-institutpaulofreire.com/images/q_continua/13.png","Ver portada")</f>
        <v>Ver portada</v>
      </c>
    </row>
    <row r="212" ht="21" customHeight="1">
      <c r="A212" s="4" t="s">
        <v>468</v>
      </c>
      <c r="B212" s="4"/>
      <c r="C212" s="5" t="s">
        <v>455</v>
      </c>
      <c r="D212" s="6" t="s">
        <v>70</v>
      </c>
      <c r="E212" s="6"/>
      <c r="F212" s="7"/>
      <c r="G212" s="8">
        <v>9.36</v>
      </c>
      <c r="H212" s="6"/>
      <c r="I212" s="9" t="str">
        <f>HYPERLINK("https://www.tienda-institutpaulofreire.com/quaderns14.html","Ver ficha")</f>
        <v>Ver ficha</v>
      </c>
      <c r="J212" s="9" t="str">
        <f>HYPERLINK("https://www.tienda-institutpaulofreire.com/images/q_continua/14.png","Ver portada")</f>
        <v>Ver portada</v>
      </c>
    </row>
    <row r="213" ht="21" customHeight="1">
      <c r="A213" s="10" t="s">
        <v>469</v>
      </c>
      <c r="B213" s="10"/>
      <c r="C213" s="11" t="s">
        <v>455</v>
      </c>
      <c r="D213" s="12" t="s">
        <v>70</v>
      </c>
      <c r="E213" s="12"/>
      <c r="F213" s="13"/>
      <c r="G213" s="14">
        <v>9.36</v>
      </c>
      <c r="H213" s="12"/>
      <c r="I213" s="15" t="str">
        <f>HYPERLINK("https://www.tienda-institutpaulofreire.com/quaderns15.html","Ver ficha")</f>
        <v>Ver ficha</v>
      </c>
      <c r="J213" s="15" t="str">
        <f>HYPERLINK("https://www.tienda-institutpaulofreire.com/images/q_continua/15.png","Ver portada")</f>
        <v>Ver portada</v>
      </c>
    </row>
    <row r="214" ht="21" customHeight="1">
      <c r="A214" s="4" t="s">
        <v>470</v>
      </c>
      <c r="B214" s="4"/>
      <c r="C214" s="5" t="s">
        <v>455</v>
      </c>
      <c r="D214" s="6" t="s">
        <v>70</v>
      </c>
      <c r="E214" s="6"/>
      <c r="F214" s="7"/>
      <c r="G214" s="8">
        <v>9.36</v>
      </c>
      <c r="H214" s="6"/>
      <c r="I214" s="9" t="str">
        <f>HYPERLINK("https://www.tienda-institutpaulofreire.com/quaderns16.html","Ver ficha")</f>
        <v>Ver ficha</v>
      </c>
      <c r="J214" s="9" t="str">
        <f>HYPERLINK("https://www.tienda-institutpaulofreire.com/images/q_continua/16.png","Ver portada")</f>
        <v>Ver portada</v>
      </c>
    </row>
    <row r="215" ht="21" customHeight="1">
      <c r="A215" s="10" t="s">
        <v>471</v>
      </c>
      <c r="B215" s="10"/>
      <c r="C215" s="11" t="s">
        <v>455</v>
      </c>
      <c r="D215" s="12" t="s">
        <v>70</v>
      </c>
      <c r="E215" s="12"/>
      <c r="F215" s="13"/>
      <c r="G215" s="14">
        <v>9.36</v>
      </c>
      <c r="H215" s="12"/>
      <c r="I215" s="15" t="str">
        <f>HYPERLINK("https://www.tienda-institutpaulofreire.com/quaderns17.html","Ver ficha")</f>
        <v>Ver ficha</v>
      </c>
      <c r="J215" s="15" t="str">
        <f>HYPERLINK("https://www.tienda-institutpaulofreire.com/images/q_continua/17.png","Ver portada")</f>
        <v>Ver portada</v>
      </c>
    </row>
    <row r="216" ht="21" customHeight="1">
      <c r="A216" s="4" t="s">
        <v>472</v>
      </c>
      <c r="B216" s="4"/>
      <c r="C216" s="5" t="s">
        <v>455</v>
      </c>
      <c r="D216" s="6" t="s">
        <v>70</v>
      </c>
      <c r="E216" s="6"/>
      <c r="F216" s="7"/>
      <c r="G216" s="8">
        <v>9.36</v>
      </c>
      <c r="H216" s="6"/>
      <c r="I216" s="9" t="str">
        <f>HYPERLINK("https://www.tienda-institutpaulofreire.com/quaderns18.html","Ver ficha")</f>
        <v>Ver ficha</v>
      </c>
      <c r="J216" s="9" t="str">
        <f>HYPERLINK("https://www.tienda-institutpaulofreire.com/images/q_continua/18.png","Ver portada")</f>
        <v>Ver portada</v>
      </c>
    </row>
    <row r="217" ht="21" customHeight="1">
      <c r="A217" s="10" t="s">
        <v>473</v>
      </c>
      <c r="B217" s="10"/>
      <c r="C217" s="11" t="s">
        <v>455</v>
      </c>
      <c r="D217" s="12" t="s">
        <v>70</v>
      </c>
      <c r="E217" s="12"/>
      <c r="F217" s="13"/>
      <c r="G217" s="14">
        <v>9.36</v>
      </c>
      <c r="H217" s="12"/>
      <c r="I217" s="15" t="str">
        <f>HYPERLINK("https://www.tienda-institutpaulofreire.com/quaderns19.html","Ver ficha")</f>
        <v>Ver ficha</v>
      </c>
      <c r="J217" s="15" t="str">
        <f>HYPERLINK("https://www.tienda-institutpaulofreire.com/images/q_continua/19.png","Ver portada")</f>
        <v>Ver portada</v>
      </c>
    </row>
    <row r="218" ht="21" customHeight="1">
      <c r="A218" s="4" t="s">
        <v>474</v>
      </c>
      <c r="B218" s="4"/>
      <c r="C218" s="5" t="s">
        <v>455</v>
      </c>
      <c r="D218" s="6" t="s">
        <v>70</v>
      </c>
      <c r="E218" s="6"/>
      <c r="F218" s="7"/>
      <c r="G218" s="8">
        <v>9.36</v>
      </c>
      <c r="H218" s="6"/>
      <c r="I218" s="9" t="str">
        <f>HYPERLINK("https://www.tienda-institutpaulofreire.com/quaderns20.html","Ver ficha")</f>
        <v>Ver ficha</v>
      </c>
      <c r="J218" s="9" t="str">
        <f>HYPERLINK("https://www.tienda-institutpaulofreire.com/images/q_continua/20.png","Ver portada")</f>
        <v>Ver portada</v>
      </c>
    </row>
    <row r="219" ht="21" customHeight="1">
      <c r="A219" s="10" t="s">
        <v>475</v>
      </c>
      <c r="B219" s="10"/>
      <c r="C219" s="11" t="s">
        <v>455</v>
      </c>
      <c r="D219" s="12" t="s">
        <v>70</v>
      </c>
      <c r="E219" s="12"/>
      <c r="F219" s="13"/>
      <c r="G219" s="14">
        <v>9.36</v>
      </c>
      <c r="H219" s="12"/>
      <c r="I219" s="15" t="str">
        <f>HYPERLINK("https://www.tienda-institutpaulofreire.com/quaderns21.html","Ver ficha")</f>
        <v>Ver ficha</v>
      </c>
      <c r="J219" s="15" t="str">
        <f>HYPERLINK("https://www.tienda-institutpaulofreire.com/images/q_continua/21.png","Ver portada")</f>
        <v>Ver portada</v>
      </c>
    </row>
    <row r="220" ht="21" customHeight="1">
      <c r="A220" s="4" t="s">
        <v>476</v>
      </c>
      <c r="B220" s="4"/>
      <c r="C220" s="5" t="s">
        <v>455</v>
      </c>
      <c r="D220" s="6" t="s">
        <v>70</v>
      </c>
      <c r="E220" s="6"/>
      <c r="F220" s="7"/>
      <c r="G220" s="8">
        <v>9.36</v>
      </c>
      <c r="H220" s="6"/>
      <c r="I220" s="9" t="str">
        <f>HYPERLINK("https://www.tienda-institutpaulofreire.com/quaderns22.html","Ver ficha")</f>
        <v>Ver ficha</v>
      </c>
      <c r="J220" s="9" t="str">
        <f>HYPERLINK("https://www.tienda-institutpaulofreire.com/images/q_continua/22.png","Ver portada")</f>
        <v>Ver portada</v>
      </c>
    </row>
    <row r="221" ht="21" customHeight="1">
      <c r="A221" s="10" t="s">
        <v>477</v>
      </c>
      <c r="B221" s="10"/>
      <c r="C221" s="11" t="s">
        <v>455</v>
      </c>
      <c r="D221" s="12" t="s">
        <v>70</v>
      </c>
      <c r="E221" s="12"/>
      <c r="F221" s="13"/>
      <c r="G221" s="14">
        <v>9.36</v>
      </c>
      <c r="H221" s="12"/>
      <c r="I221" s="15" t="str">
        <f>HYPERLINK("https://www.tienda-institutpaulofreire.com/quaderns23.html","Ver ficha")</f>
        <v>Ver ficha</v>
      </c>
      <c r="J221" s="15" t="str">
        <f>HYPERLINK("https://www.tienda-institutpaulofreire.com/images/q_continua/23.png","Ver portada")</f>
        <v>Ver portada</v>
      </c>
    </row>
    <row r="222" ht="21" customHeight="1">
      <c r="A222" s="4" t="s">
        <v>478</v>
      </c>
      <c r="B222" s="4"/>
      <c r="C222" s="5" t="s">
        <v>455</v>
      </c>
      <c r="D222" s="6" t="s">
        <v>70</v>
      </c>
      <c r="E222" s="6"/>
      <c r="F222" s="7"/>
      <c r="G222" s="8">
        <v>9.36</v>
      </c>
      <c r="H222" s="6"/>
      <c r="I222" s="9" t="str">
        <f>HYPERLINK("https://www.tienda-institutpaulofreire.com/quaderns24.html","Ver ficha")</f>
        <v>Ver ficha</v>
      </c>
      <c r="J222" s="9" t="str">
        <f>HYPERLINK("https://www.tienda-institutpaulofreire.com/images/q_continua/24.png","Ver portada")</f>
        <v>Ver portada</v>
      </c>
    </row>
    <row r="223" ht="21" customHeight="1">
      <c r="A223" s="10" t="s">
        <v>479</v>
      </c>
      <c r="B223" s="10"/>
      <c r="C223" s="11" t="s">
        <v>455</v>
      </c>
      <c r="D223" s="12" t="s">
        <v>70</v>
      </c>
      <c r="E223" s="12"/>
      <c r="F223" s="13"/>
      <c r="G223" s="14">
        <v>9.36</v>
      </c>
      <c r="H223" s="12"/>
      <c r="I223" s="15" t="str">
        <f>HYPERLINK("https://www.tienda-institutpaulofreire.com/quaderns25.html","Ver ficha")</f>
        <v>Ver ficha</v>
      </c>
      <c r="J223" s="15" t="str">
        <f>HYPERLINK("https://www.tienda-institutpaulofreire.com/images/q_continua/25.png","Ver portada")</f>
        <v>Ver portada</v>
      </c>
    </row>
    <row r="224" ht="21" customHeight="1">
      <c r="A224" s="4" t="s">
        <v>480</v>
      </c>
      <c r="B224" s="4"/>
      <c r="C224" s="5" t="s">
        <v>455</v>
      </c>
      <c r="D224" s="6" t="s">
        <v>70</v>
      </c>
      <c r="E224" s="6"/>
      <c r="F224" s="7"/>
      <c r="G224" s="8">
        <v>9.36</v>
      </c>
      <c r="H224" s="6"/>
      <c r="I224" s="9" t="str">
        <f>HYPERLINK("https://www.tienda-institutpaulofreire.com/quaderns26.html","Ver ficha")</f>
        <v>Ver ficha</v>
      </c>
      <c r="J224" s="9" t="str">
        <f>HYPERLINK("https://www.tienda-institutpaulofreire.com/images/q_continua/26.png","Ver portada")</f>
        <v>Ver portada</v>
      </c>
    </row>
    <row r="225" ht="21" customHeight="1">
      <c r="A225" s="10" t="s">
        <v>481</v>
      </c>
      <c r="B225" s="10"/>
      <c r="C225" s="11" t="s">
        <v>455</v>
      </c>
      <c r="D225" s="12" t="s">
        <v>70</v>
      </c>
      <c r="E225" s="12"/>
      <c r="F225" s="13"/>
      <c r="G225" s="14">
        <v>9.36</v>
      </c>
      <c r="H225" s="12"/>
      <c r="I225" s="15" t="str">
        <f>HYPERLINK("https://www.tienda-institutpaulofreire.com/quaderns27.html","Ver ficha")</f>
        <v>Ver ficha</v>
      </c>
      <c r="J225" s="15" t="str">
        <f>HYPERLINK("https://www.tienda-institutpaulofreire.com/images/q_continua/27.png","Ver portada")</f>
        <v>Ver portada</v>
      </c>
    </row>
    <row r="226" ht="21" customHeight="1">
      <c r="A226" s="4" t="s">
        <v>482</v>
      </c>
      <c r="B226" s="4"/>
      <c r="C226" s="5" t="s">
        <v>455</v>
      </c>
      <c r="D226" s="6" t="s">
        <v>70</v>
      </c>
      <c r="E226" s="6"/>
      <c r="F226" s="7"/>
      <c r="G226" s="8">
        <v>9.36</v>
      </c>
      <c r="H226" s="6"/>
      <c r="I226" s="9" t="str">
        <f>HYPERLINK("https://www.tienda-institutpaulofreire.com/quaderns28.html","Ver ficha")</f>
        <v>Ver ficha</v>
      </c>
      <c r="J226" s="9" t="str">
        <f>HYPERLINK("https://www.tienda-institutpaulofreire.com/images/q_continua/28.png","Ver portada")</f>
        <v>Ver portada</v>
      </c>
    </row>
    <row r="227" ht="21" customHeight="1">
      <c r="A227" s="10" t="s">
        <v>483</v>
      </c>
      <c r="B227" s="10"/>
      <c r="C227" s="11" t="s">
        <v>455</v>
      </c>
      <c r="D227" s="12" t="s">
        <v>70</v>
      </c>
      <c r="E227" s="12"/>
      <c r="F227" s="13"/>
      <c r="G227" s="14">
        <v>12.48</v>
      </c>
      <c r="H227" s="12"/>
      <c r="I227" s="15" t="str">
        <f>HYPERLINK("https://www.tienda-institutpaulofreire.com/quaderns29.html","Ver ficha")</f>
        <v>Ver ficha</v>
      </c>
      <c r="J227" s="15" t="str">
        <f>HYPERLINK("https://www.tienda-institutpaulofreire.com/images/q_continua/29.png","Ver portada")</f>
        <v>Ver portada</v>
      </c>
    </row>
    <row r="228" ht="21" customHeight="1">
      <c r="A228" s="4" t="s">
        <v>484</v>
      </c>
      <c r="B228" s="4"/>
      <c r="C228" s="5" t="s">
        <v>455</v>
      </c>
      <c r="D228" s="6" t="s">
        <v>70</v>
      </c>
      <c r="E228" s="6"/>
      <c r="F228" s="7"/>
      <c r="G228" s="8">
        <v>12.48</v>
      </c>
      <c r="H228" s="6"/>
      <c r="I228" s="9" t="str">
        <f>HYPERLINK("https://www.tienda-institutpaulofreire.com/quaderns30.html","Ver ficha")</f>
        <v>Ver ficha</v>
      </c>
      <c r="J228" s="9" t="str">
        <f>HYPERLINK("https://www.tienda-institutpaulofreire.com/images/q_continua/30.png","Ver portada")</f>
        <v>Ver portada</v>
      </c>
    </row>
    <row r="229" ht="21" customHeight="1">
      <c r="A229" s="10" t="s">
        <v>485</v>
      </c>
      <c r="B229" s="10"/>
      <c r="C229" s="11" t="s">
        <v>455</v>
      </c>
      <c r="D229" s="12" t="s">
        <v>70</v>
      </c>
      <c r="E229" s="12"/>
      <c r="F229" s="13"/>
      <c r="G229" s="14">
        <v>12.48</v>
      </c>
      <c r="H229" s="12"/>
      <c r="I229" s="15" t="str">
        <f>HYPERLINK("https://www.tienda-institutpaulofreire.com/quaderns31.html","Ver ficha")</f>
        <v>Ver ficha</v>
      </c>
      <c r="J229" s="15" t="str">
        <f>HYPERLINK("https://www.tienda-institutpaulofreire.com/images/q_continua/31.png","Ver portada")</f>
        <v>Ver portada</v>
      </c>
    </row>
    <row r="230" ht="21" customHeight="1">
      <c r="A230" s="4" t="s">
        <v>486</v>
      </c>
      <c r="B230" s="4"/>
      <c r="C230" s="5" t="s">
        <v>455</v>
      </c>
      <c r="D230" s="6" t="s">
        <v>70</v>
      </c>
      <c r="E230" s="6"/>
      <c r="F230" s="7"/>
      <c r="G230" s="8">
        <v>12.48</v>
      </c>
      <c r="H230" s="6"/>
      <c r="I230" s="9" t="str">
        <f>HYPERLINK("https://www.tienda-institutpaulofreire.com/quaderns32.html","Ver ficha")</f>
        <v>Ver ficha</v>
      </c>
      <c r="J230" s="9" t="str">
        <f>HYPERLINK("https://www.tienda-institutpaulofreire.com/images/q_continua/32.png","Ver portada")</f>
        <v>Ver portada</v>
      </c>
    </row>
    <row r="231" ht="21" customHeight="1">
      <c r="A231" s="10" t="s">
        <v>487</v>
      </c>
      <c r="B231" s="10"/>
      <c r="C231" s="11" t="s">
        <v>455</v>
      </c>
      <c r="D231" s="12" t="s">
        <v>70</v>
      </c>
      <c r="E231" s="12"/>
      <c r="F231" s="13"/>
      <c r="G231" s="14">
        <v>12.48</v>
      </c>
      <c r="H231" s="12"/>
      <c r="I231" s="15" t="str">
        <f>HYPERLINK("https://www.tienda-institutpaulofreire.com/quaderns33.html","Ver ficha")</f>
        <v>Ver ficha</v>
      </c>
      <c r="J231" s="15" t="str">
        <f>HYPERLINK("https://www.tienda-institutpaulofreire.com/images/q_continua/33.png","Ver portada")</f>
        <v>Ver portada</v>
      </c>
    </row>
    <row r="232" ht="21" customHeight="1">
      <c r="A232" s="4" t="s">
        <v>488</v>
      </c>
      <c r="B232" s="4"/>
      <c r="C232" s="5" t="s">
        <v>455</v>
      </c>
      <c r="D232" s="6" t="s">
        <v>70</v>
      </c>
      <c r="E232" s="6"/>
      <c r="F232" s="7"/>
      <c r="G232" s="8">
        <v>12.48</v>
      </c>
      <c r="H232" s="6"/>
      <c r="I232" s="9" t="str">
        <f>HYPERLINK("https://www.tienda-institutpaulofreire.com/quaderns34.html","Ver ficha")</f>
        <v>Ver ficha</v>
      </c>
      <c r="J232" s="9" t="str">
        <f>HYPERLINK("https://www.tienda-institutpaulofreire.com/images/q_continua/34.png","Ver portada")</f>
        <v>Ver portada</v>
      </c>
    </row>
    <row r="233" ht="21" customHeight="1">
      <c r="A233" s="10" t="s">
        <v>489</v>
      </c>
      <c r="B233" s="10"/>
      <c r="C233" s="11" t="s">
        <v>455</v>
      </c>
      <c r="D233" s="12" t="s">
        <v>70</v>
      </c>
      <c r="E233" s="12"/>
      <c r="F233" s="13"/>
      <c r="G233" s="14">
        <v>12.48</v>
      </c>
      <c r="H233" s="12"/>
      <c r="I233" s="15" t="str">
        <f>HYPERLINK("https://www.tienda-institutpaulofreire.com/quaderns35.html","Ver ficha")</f>
        <v>Ver ficha</v>
      </c>
      <c r="J233" s="15" t="str">
        <f>HYPERLINK("https://www.tienda-institutpaulofreire.com/images/q_continua/35.png","Ver portada")</f>
        <v>Ver portada</v>
      </c>
    </row>
    <row r="234" ht="21" customHeight="1">
      <c r="A234" s="4" t="s">
        <v>490</v>
      </c>
      <c r="B234" s="4"/>
      <c r="C234" s="5" t="s">
        <v>455</v>
      </c>
      <c r="D234" s="6" t="s">
        <v>70</v>
      </c>
      <c r="E234" s="6"/>
      <c r="F234" s="7"/>
      <c r="G234" s="8">
        <v>12.48</v>
      </c>
      <c r="H234" s="6"/>
      <c r="I234" s="9" t="str">
        <f>HYPERLINK("https://www.tienda-institutpaulofreire.com/quaderns36.html","Ver ficha")</f>
        <v>Ver ficha</v>
      </c>
      <c r="J234" s="9" t="str">
        <f>HYPERLINK("https://www.tienda-institutpaulofreire.com/images/q_continua/36.png","Ver portada")</f>
        <v>Ver portada</v>
      </c>
    </row>
    <row r="235" ht="21" customHeight="1">
      <c r="A235" s="10" t="s">
        <v>491</v>
      </c>
      <c r="B235" s="10"/>
      <c r="C235" s="11" t="s">
        <v>455</v>
      </c>
      <c r="D235" s="12" t="s">
        <v>70</v>
      </c>
      <c r="E235" s="12"/>
      <c r="F235" s="13"/>
      <c r="G235" s="14">
        <v>12.48</v>
      </c>
      <c r="H235" s="12"/>
      <c r="I235" s="15" t="str">
        <f>HYPERLINK("https://www.tienda-institutpaulofreire.com/quaderns37.html","Ver ficha")</f>
        <v>Ver ficha</v>
      </c>
      <c r="J235" s="15" t="str">
        <f>HYPERLINK("https://www.tienda-institutpaulofreire.com/images/q_continua/37.png","Ver portada")</f>
        <v>Ver portada</v>
      </c>
    </row>
    <row r="236" ht="21" customHeight="1">
      <c r="A236" s="4" t="s">
        <v>492</v>
      </c>
      <c r="B236" s="4"/>
      <c r="C236" s="5" t="s">
        <v>455</v>
      </c>
      <c r="D236" s="6" t="s">
        <v>70</v>
      </c>
      <c r="E236" s="6"/>
      <c r="F236" s="7"/>
      <c r="G236" s="8">
        <v>12.48</v>
      </c>
      <c r="H236" s="6"/>
      <c r="I236" s="9" t="str">
        <f>HYPERLINK("https://www.tienda-institutpaulofreire.com/quaderns38.html","Ver ficha")</f>
        <v>Ver ficha</v>
      </c>
      <c r="J236" s="9" t="str">
        <f>HYPERLINK("https://www.tienda-institutpaulofreire.com/images/q_continua/38.png","Ver portada")</f>
        <v>Ver portada</v>
      </c>
    </row>
    <row r="237" ht="21" customHeight="1">
      <c r="A237" s="10" t="s">
        <v>493</v>
      </c>
      <c r="B237" s="10"/>
      <c r="C237" s="11" t="s">
        <v>455</v>
      </c>
      <c r="D237" s="12" t="s">
        <v>70</v>
      </c>
      <c r="E237" s="12"/>
      <c r="F237" s="13"/>
      <c r="G237" s="14">
        <v>12.48</v>
      </c>
      <c r="H237" s="12"/>
      <c r="I237" s="15" t="str">
        <f>HYPERLINK("https://www.tienda-institutpaulofreire.com/quaderns39y40.html","Ver ficha")</f>
        <v>Ver ficha</v>
      </c>
      <c r="J237" s="15" t="str">
        <f>HYPERLINK("https://www.tienda-institutpaulofreire.com/images/q_continua/39y40.png","Ver portada")</f>
        <v>Ver portada</v>
      </c>
    </row>
    <row r="238" ht="21" customHeight="1">
      <c r="A238" s="4" t="s">
        <v>494</v>
      </c>
      <c r="B238" s="4"/>
      <c r="C238" s="5" t="s">
        <v>455</v>
      </c>
      <c r="D238" s="6" t="s">
        <v>70</v>
      </c>
      <c r="E238" s="6"/>
      <c r="F238" s="7"/>
      <c r="G238" s="8">
        <v>12.48</v>
      </c>
      <c r="H238" s="6"/>
      <c r="I238" s="9" t="str">
        <f>HYPERLINK("https://www.tienda-institutpaulofreire.com/quaderns41.html","Ver ficha")</f>
        <v>Ver ficha</v>
      </c>
      <c r="J238" s="9" t="str">
        <f>HYPERLINK("https://www.tienda-institutpaulofreire.com/images/q_continua/41.png","Ver portada")</f>
        <v>Ver portada</v>
      </c>
    </row>
    <row r="239" ht="21" customHeight="1">
      <c r="A239" s="10" t="s">
        <v>495</v>
      </c>
      <c r="B239" s="10"/>
      <c r="C239" s="11" t="s">
        <v>455</v>
      </c>
      <c r="D239" s="12" t="s">
        <v>70</v>
      </c>
      <c r="E239" s="12"/>
      <c r="F239" s="13"/>
      <c r="G239" s="14">
        <v>12.48</v>
      </c>
      <c r="H239" s="12"/>
      <c r="I239" s="15" t="str">
        <f>HYPERLINK("https://www.tienda-institutpaulofreire.com/quaderns42.html","Ver ficha")</f>
        <v>Ver ficha</v>
      </c>
      <c r="J239" s="15" t="str">
        <f>HYPERLINK("https://www.tienda-institutpaulofreire.com/images/q_continua/42.png","Ver portada")</f>
        <v>Ver portada</v>
      </c>
    </row>
    <row r="240" ht="21" customHeight="1">
      <c r="A240" s="4" t="s">
        <v>496</v>
      </c>
      <c r="B240" s="4"/>
      <c r="C240" s="5" t="s">
        <v>455</v>
      </c>
      <c r="D240" s="6" t="s">
        <v>70</v>
      </c>
      <c r="E240" s="6"/>
      <c r="F240" s="7"/>
      <c r="G240" s="8">
        <v>12.48</v>
      </c>
      <c r="H240" s="6"/>
      <c r="I240" s="9" t="str">
        <f>HYPERLINK("https://www.tienda-institutpaulofreire.com/quaderns43.html","Ver ficha")</f>
        <v>Ver ficha</v>
      </c>
      <c r="J240" s="9" t="str">
        <f>HYPERLINK("https://www.tienda-institutpaulofreire.com/images/q_continua/43.png","Ver portada")</f>
        <v>Ver portada</v>
      </c>
    </row>
    <row r="241" ht="21" customHeight="1">
      <c r="A241" s="10" t="s">
        <v>497</v>
      </c>
      <c r="B241" s="10"/>
      <c r="C241" s="11" t="s">
        <v>455</v>
      </c>
      <c r="D241" s="12" t="s">
        <v>70</v>
      </c>
      <c r="E241" s="12"/>
      <c r="F241" s="13"/>
      <c r="G241" s="14">
        <v>12.48</v>
      </c>
      <c r="H241" s="12"/>
      <c r="I241" s="15" t="str">
        <f>HYPERLINK("https://www.tienda-institutpaulofreire.com/quaderns44.html","Ver ficha")</f>
        <v>Ver ficha</v>
      </c>
      <c r="J241" s="15" t="str">
        <f>HYPERLINK("https://www.tienda-institutpaulofreire.com/images/q_continua/44.png","Ver portada")</f>
        <v>Ver portada</v>
      </c>
    </row>
    <row r="242" ht="21" customHeight="1">
      <c r="A242" s="4" t="s">
        <v>498</v>
      </c>
      <c r="B242" s="4"/>
      <c r="C242" s="5" t="s">
        <v>455</v>
      </c>
      <c r="D242" s="6" t="s">
        <v>70</v>
      </c>
      <c r="E242" s="6"/>
      <c r="F242" s="7"/>
      <c r="G242" s="8">
        <v>12.48</v>
      </c>
      <c r="H242" s="6"/>
      <c r="I242" s="9" t="str">
        <f>HYPERLINK("https://www.tienda-institutpaulofreire.com/quaderns45.html","Ver ficha")</f>
        <v>Ver ficha</v>
      </c>
      <c r="J242" s="9" t="str">
        <f>HYPERLINK("https://www.tienda-institutpaulofreire.com/images/q_continua/45.png","Ver portada")</f>
        <v>Ver portada</v>
      </c>
    </row>
    <row r="243" ht="21" customHeight="1">
      <c r="A243" s="10" t="s">
        <v>499</v>
      </c>
      <c r="B243" s="10"/>
      <c r="C243" s="11" t="s">
        <v>455</v>
      </c>
      <c r="D243" s="12" t="s">
        <v>70</v>
      </c>
      <c r="E243" s="12"/>
      <c r="F243" s="13"/>
      <c r="G243" s="14">
        <v>12.48</v>
      </c>
      <c r="H243" s="12"/>
      <c r="I243" s="15" t="str">
        <f>HYPERLINK("https://www.tienda-institutpaulofreire.com/quaderns46.html","Ver ficha")</f>
        <v>Ver ficha</v>
      </c>
      <c r="J243" s="15" t="str">
        <f>HYPERLINK("https://www.tienda-institutpaulofreire.com/images/q_continua/46.png","Ver portada")</f>
        <v>Ver portada</v>
      </c>
    </row>
    <row r="244" ht="21" customHeight="1">
      <c r="A244" s="4" t="s">
        <v>500</v>
      </c>
      <c r="B244" s="4"/>
      <c r="C244" s="5" t="s">
        <v>455</v>
      </c>
      <c r="D244" s="6" t="s">
        <v>70</v>
      </c>
      <c r="E244" s="6"/>
      <c r="F244" s="7"/>
      <c r="G244" s="8">
        <v>12.48</v>
      </c>
      <c r="H244" s="6"/>
      <c r="I244" s="9" t="str">
        <f>HYPERLINK("https://www.tienda-institutpaulofreire.com/quaderns47.html","Ver ficha")</f>
        <v>Ver ficha</v>
      </c>
      <c r="J244" s="9" t="str">
        <f>HYPERLINK("https://www.tienda-institutpaulofreire.com/images/q_continua/47.png","Ver portada")</f>
        <v>Ver portada</v>
      </c>
    </row>
    <row r="245" ht="21" customHeight="1">
      <c r="A245" s="10" t="s">
        <v>501</v>
      </c>
      <c r="B245" s="10"/>
      <c r="C245" s="11" t="s">
        <v>455</v>
      </c>
      <c r="D245" s="12" t="s">
        <v>70</v>
      </c>
      <c r="E245" s="12"/>
      <c r="F245" s="13"/>
      <c r="G245" s="14">
        <v>12.48</v>
      </c>
      <c r="H245" s="12"/>
      <c r="I245" s="15" t="str">
        <f>HYPERLINK("https://www.tienda-institutpaulofreire.com/quaderns48.html","Ver ficha")</f>
        <v>Ver ficha</v>
      </c>
      <c r="J245" s="15" t="str">
        <f>HYPERLINK("https://www.tienda-institutpaulofreire.com/images/q_continua/48.png","Ver portada")</f>
        <v>Ver portada</v>
      </c>
    </row>
    <row r="246" ht="21" customHeight="1">
      <c r="A246" s="4" t="s">
        <v>502</v>
      </c>
      <c r="B246" s="4"/>
      <c r="C246" s="5" t="s">
        <v>455</v>
      </c>
      <c r="D246" s="6" t="s">
        <v>70</v>
      </c>
      <c r="E246" s="6"/>
      <c r="F246" s="7"/>
      <c r="G246" s="8">
        <v>12.48</v>
      </c>
      <c r="H246" s="6"/>
      <c r="I246" s="9" t="str">
        <f>HYPERLINK("https://www.tienda-institutpaulofreire.com/quaderns49.html","Ver ficha")</f>
        <v>Ver ficha</v>
      </c>
      <c r="J246" s="9" t="str">
        <f>HYPERLINK("https://www.tienda-institutpaulofreire.com/images/q_continua/49.png","Ver portada")</f>
        <v>Ver portada</v>
      </c>
    </row>
    <row r="247" ht="21" customHeight="1">
      <c r="A247" s="10" t="s">
        <v>503</v>
      </c>
      <c r="B247" s="10"/>
      <c r="C247" s="11" t="s">
        <v>455</v>
      </c>
      <c r="D247" s="12" t="s">
        <v>70</v>
      </c>
      <c r="E247" s="12"/>
      <c r="F247" s="13"/>
      <c r="G247" s="14">
        <v>12.48</v>
      </c>
      <c r="H247" s="12"/>
      <c r="I247" s="15" t="str">
        <f>HYPERLINK("https://www.tienda-institutpaulofreire.com/quaderns50.html","Ver ficha")</f>
        <v>Ver ficha</v>
      </c>
      <c r="J247" s="15" t="str">
        <f>HYPERLINK("https://www.tienda-institutpaulofreire.com/images/q_continua/50.png","Ver portada")</f>
        <v>Ver portada</v>
      </c>
    </row>
    <row r="248" ht="21" customHeight="1">
      <c r="A248" s="4" t="s">
        <v>504</v>
      </c>
      <c r="B248" s="4"/>
      <c r="C248" s="5" t="s">
        <v>455</v>
      </c>
      <c r="D248" s="6" t="s">
        <v>70</v>
      </c>
      <c r="E248" s="6"/>
      <c r="F248" s="7"/>
      <c r="G248" s="8">
        <v>12.48</v>
      </c>
      <c r="H248" s="6"/>
      <c r="I248" s="9" t="str">
        <f>HYPERLINK("https://www.tienda-institutpaulofreire.com/quaderns51.html","Ver ficha")</f>
        <v>Ver ficha</v>
      </c>
      <c r="J248" s="9" t="str">
        <f>HYPERLINK("https://www.tienda-institutpaulofreire.com/images/q_continua/51.png","Ver portada")</f>
        <v>Ver portada</v>
      </c>
    </row>
    <row r="249" ht="21" customHeight="1">
      <c r="A249" s="10" t="s">
        <v>505</v>
      </c>
      <c r="B249" s="10"/>
      <c r="C249" s="11" t="s">
        <v>455</v>
      </c>
      <c r="D249" s="12" t="s">
        <v>70</v>
      </c>
      <c r="E249" s="12"/>
      <c r="F249" s="13"/>
      <c r="G249" s="14">
        <v>12.48</v>
      </c>
      <c r="H249" s="12"/>
      <c r="I249" s="15" t="str">
        <f>HYPERLINK("https://www.tienda-institutpaulofreire.com/quaderns52.html","Ver ficha")</f>
        <v>Ver ficha</v>
      </c>
      <c r="J249" s="15" t="str">
        <f>HYPERLINK("https://www.tienda-institutpaulofreire.com/images/q_continua/52.png","Ver portada")</f>
        <v>Ver portada</v>
      </c>
    </row>
    <row r="250" ht="21" customHeight="1">
      <c r="A250" s="4" t="s">
        <v>506</v>
      </c>
      <c r="B250" s="4"/>
      <c r="C250" s="5" t="s">
        <v>455</v>
      </c>
      <c r="D250" s="6" t="s">
        <v>70</v>
      </c>
      <c r="E250" s="6"/>
      <c r="F250" s="7"/>
      <c r="G250" s="8">
        <v>12.48</v>
      </c>
      <c r="H250" s="6"/>
      <c r="I250" s="9" t="str">
        <f>HYPERLINK("https://www.tienda-institutpaulofreire.com/quaderns53.html","Ver ficha")</f>
        <v>Ver ficha</v>
      </c>
      <c r="J250" s="9" t="str">
        <f>HYPERLINK("https://www.tienda-institutpaulofreire.com/images/q_continua/53.png","Ver portada")</f>
        <v>Ver portada</v>
      </c>
    </row>
    <row r="251" ht="21" customHeight="1">
      <c r="A251" s="10" t="s">
        <v>507</v>
      </c>
      <c r="B251" s="10"/>
      <c r="C251" s="11" t="s">
        <v>455</v>
      </c>
      <c r="D251" s="12" t="s">
        <v>70</v>
      </c>
      <c r="E251" s="12"/>
      <c r="F251" s="13"/>
      <c r="G251" s="14">
        <v>12.48</v>
      </c>
      <c r="H251" s="12"/>
      <c r="I251" s="15" t="str">
        <f>HYPERLINK("https://www.tienda-institutpaulofreire.com/quaderns54y55.html","Ver ficha")</f>
        <v>Ver ficha</v>
      </c>
      <c r="J251" s="15" t="str">
        <f>HYPERLINK("https://www.tienda-institutpaulofreire.com/images/q_continua/54y55.png","Ver portada")</f>
        <v>Ver portada</v>
      </c>
    </row>
    <row r="252" ht="21" customHeight="1">
      <c r="A252" s="4" t="s">
        <v>508</v>
      </c>
      <c r="B252" s="4"/>
      <c r="C252" s="5" t="s">
        <v>455</v>
      </c>
      <c r="D252" s="6" t="s">
        <v>70</v>
      </c>
      <c r="E252" s="6"/>
      <c r="F252" s="7"/>
      <c r="G252" s="8">
        <v>12.48</v>
      </c>
      <c r="H252" s="6"/>
      <c r="I252" s="9" t="str">
        <f>HYPERLINK("https://www.tienda-institutpaulofreire.com/quaderns56.html","Ver ficha")</f>
        <v>Ver ficha</v>
      </c>
      <c r="J252" s="9" t="str">
        <f>HYPERLINK("https://www.tienda-institutpaulofreire.com/images/q_continua/56.png","Ver portada")</f>
        <v>Ver portada</v>
      </c>
    </row>
    <row r="253" ht="21" customHeight="1">
      <c r="A253" s="10" t="s">
        <v>509</v>
      </c>
      <c r="B253" s="10" t="s">
        <v>327</v>
      </c>
      <c r="C253" s="11" t="s">
        <v>510</v>
      </c>
      <c r="D253" s="12" t="s">
        <v>70</v>
      </c>
      <c r="E253" s="12">
        <v>1994</v>
      </c>
      <c r="F253" s="13">
        <v>62</v>
      </c>
      <c r="G253" s="14">
        <v>6.24</v>
      </c>
      <c r="H253" s="12"/>
      <c r="I253" s="15" t="str">
        <f>HYPERLINK("https://www.tienda-institutpaulofreire.com/q_popular01.html","Ver ficha")</f>
        <v>Ver ficha</v>
      </c>
      <c r="J253" s="15" t="str">
        <f>HYPERLINK("https://www.tienda-institutpaulofreire.com/images/q_popular/01.png","Ver portada")</f>
        <v>Ver portada</v>
      </c>
    </row>
    <row r="254" ht="36" customHeight="1">
      <c r="A254" s="4" t="s">
        <v>511</v>
      </c>
      <c r="B254" s="4" t="s">
        <v>327</v>
      </c>
      <c r="C254" s="5" t="s">
        <v>510</v>
      </c>
      <c r="D254" s="6" t="s">
        <v>70</v>
      </c>
      <c r="E254" s="6">
        <v>1995</v>
      </c>
      <c r="F254" s="7">
        <v>79</v>
      </c>
      <c r="G254" s="8">
        <v>6.24</v>
      </c>
      <c r="H254" s="6" t="s">
        <v>512</v>
      </c>
      <c r="I254" s="9" t="str">
        <f>HYPERLINK("https://www.tienda-institutpaulofreire.com/q_popular02.html","Ver ficha")</f>
        <v>Ver ficha</v>
      </c>
      <c r="J254" s="9" t="str">
        <f>HYPERLINK("https://www.tienda-institutpaulofreire.com/images/q_popular/02.png","Ver portada")</f>
        <v>Ver portada</v>
      </c>
    </row>
    <row r="255" ht="36" customHeight="1">
      <c r="A255" s="10" t="s">
        <v>513</v>
      </c>
      <c r="B255" s="10" t="s">
        <v>327</v>
      </c>
      <c r="C255" s="11" t="s">
        <v>510</v>
      </c>
      <c r="D255" s="12" t="s">
        <v>70</v>
      </c>
      <c r="E255" s="12">
        <v>1997</v>
      </c>
      <c r="F255" s="13">
        <v>94</v>
      </c>
      <c r="G255" s="14">
        <v>6.24</v>
      </c>
      <c r="H255" s="12" t="s">
        <v>514</v>
      </c>
      <c r="I255" s="15" t="str">
        <f>HYPERLINK("https://www.tienda-institutpaulofreire.com/q_popular03.html","Ver ficha")</f>
        <v>Ver ficha</v>
      </c>
      <c r="J255" s="15" t="str">
        <f>HYPERLINK("https://www.tienda-institutpaulofreire.com/images/q_popular/03.png","Ver portada")</f>
        <v>Ver portada</v>
      </c>
    </row>
    <row r="256" ht="36" customHeight="1">
      <c r="A256" s="4" t="s">
        <v>515</v>
      </c>
      <c r="B256" s="4" t="s">
        <v>415</v>
      </c>
      <c r="C256" s="5" t="s">
        <v>510</v>
      </c>
      <c r="D256" s="6" t="s">
        <v>70</v>
      </c>
      <c r="E256" s="6">
        <v>1997</v>
      </c>
      <c r="F256" s="7">
        <v>68</v>
      </c>
      <c r="G256" s="8">
        <v>6.24</v>
      </c>
      <c r="H256" s="6" t="s">
        <v>516</v>
      </c>
      <c r="I256" s="9" t="str">
        <f>HYPERLINK("https://www.tienda-institutpaulofreire.com/q_popular04.html","Ver ficha")</f>
        <v>Ver ficha</v>
      </c>
      <c r="J256" s="9" t="str">
        <f>HYPERLINK("https://www.tienda-institutpaulofreire.com/images/q_popular/04.png","Ver portada")</f>
        <v>Ver portada</v>
      </c>
    </row>
    <row r="257" ht="36" customHeight="1">
      <c r="A257" s="10" t="s">
        <v>517</v>
      </c>
      <c r="B257" s="10" t="s">
        <v>327</v>
      </c>
      <c r="C257" s="11" t="s">
        <v>510</v>
      </c>
      <c r="D257" s="12" t="s">
        <v>70</v>
      </c>
      <c r="E257" s="12">
        <v>1999</v>
      </c>
      <c r="F257" s="13">
        <v>72</v>
      </c>
      <c r="G257" s="14">
        <v>6.24</v>
      </c>
      <c r="H257" s="12" t="s">
        <v>518</v>
      </c>
      <c r="I257" s="15" t="str">
        <f>HYPERLINK("https://www.tienda-institutpaulofreire.com/q_popular05.html","Ver ficha")</f>
        <v>Ver ficha</v>
      </c>
      <c r="J257" s="15" t="str">
        <f>HYPERLINK("https://www.tienda-institutpaulofreire.com/images/q_popular/05.png","Ver portada")</f>
        <v>Ver portada</v>
      </c>
    </row>
    <row r="258" ht="36" customHeight="1">
      <c r="A258" s="4" t="s">
        <v>519</v>
      </c>
      <c r="B258" s="4" t="s">
        <v>415</v>
      </c>
      <c r="C258" s="5" t="s">
        <v>510</v>
      </c>
      <c r="D258" s="6" t="s">
        <v>70</v>
      </c>
      <c r="E258" s="6">
        <v>1999</v>
      </c>
      <c r="F258" s="7">
        <v>80</v>
      </c>
      <c r="G258" s="8">
        <v>6.24</v>
      </c>
      <c r="H258" s="6" t="s">
        <v>520</v>
      </c>
      <c r="I258" s="9" t="str">
        <f>HYPERLINK("https://www.tienda-institutpaulofreire.com/q_popular06.html","Ver ficha")</f>
        <v>Ver ficha</v>
      </c>
      <c r="J258" s="9" t="str">
        <f>HYPERLINK("https://www.tienda-institutpaulofreire.com/images/q_popular/06.png","Ver portada")</f>
        <v>Ver portada</v>
      </c>
    </row>
    <row r="259" ht="21" customHeight="1">
      <c r="A259" s="10" t="s">
        <v>521</v>
      </c>
      <c r="B259" s="10" t="s">
        <v>522</v>
      </c>
      <c r="C259" s="11" t="s">
        <v>510</v>
      </c>
      <c r="D259" s="12" t="s">
        <v>70</v>
      </c>
      <c r="E259" s="12">
        <v>2000</v>
      </c>
      <c r="F259" s="13">
        <v>59</v>
      </c>
      <c r="G259" s="14">
        <v>6.24</v>
      </c>
      <c r="H259" s="12" t="s">
        <v>523</v>
      </c>
      <c r="I259" s="15" t="str">
        <f>HYPERLINK("https://www.tienda-institutpaulofreire.com/q_popular07.html","Ver ficha")</f>
        <v>Ver ficha</v>
      </c>
      <c r="J259" s="15" t="str">
        <f>HYPERLINK("https://www.tienda-institutpaulofreire.com/images/q_popular/07.png","Ver portada")</f>
        <v>Ver portada</v>
      </c>
    </row>
    <row r="260" ht="36" customHeight="1">
      <c r="A260" s="4" t="s">
        <v>524</v>
      </c>
      <c r="B260" s="4" t="s">
        <v>327</v>
      </c>
      <c r="C260" s="5" t="s">
        <v>510</v>
      </c>
      <c r="D260" s="6" t="s">
        <v>70</v>
      </c>
      <c r="E260" s="6">
        <v>2001</v>
      </c>
      <c r="F260" s="7">
        <v>150</v>
      </c>
      <c r="G260" s="8">
        <v>6.24</v>
      </c>
      <c r="H260" s="6" t="s">
        <v>525</v>
      </c>
      <c r="I260" s="9" t="str">
        <f>HYPERLINK("https://www.tienda-institutpaulofreire.com/q_popular08.html","Ver ficha")</f>
        <v>Ver ficha</v>
      </c>
      <c r="J260" s="9" t="str">
        <f>HYPERLINK("https://www.tienda-institutpaulofreire.com/images/q_popular/08.png","Ver portada")</f>
        <v>Ver portada</v>
      </c>
    </row>
    <row r="261" ht="51" customHeight="1">
      <c r="A261" s="10" t="s">
        <v>526</v>
      </c>
      <c r="B261" s="10"/>
      <c r="C261" s="11" t="s">
        <v>510</v>
      </c>
      <c r="D261" s="12" t="s">
        <v>70</v>
      </c>
      <c r="E261" s="12">
        <v>2001</v>
      </c>
      <c r="F261" s="13">
        <v>72</v>
      </c>
      <c r="G261" s="14">
        <v>6.24</v>
      </c>
      <c r="H261" s="12"/>
      <c r="I261" s="15" t="str">
        <f>HYPERLINK("https://www.tienda-institutpaulofreire.com/q_popular09.html","Ver ficha")</f>
        <v>Ver ficha</v>
      </c>
      <c r="J261" s="15" t="str">
        <f>HYPERLINK("https://www.tienda-institutpaulofreire.com/images/q_popular/09.png","Ver portada")</f>
        <v>Ver portada</v>
      </c>
    </row>
    <row r="262" ht="36" customHeight="1">
      <c r="A262" s="4" t="s">
        <v>527</v>
      </c>
      <c r="B262" s="4" t="s">
        <v>528</v>
      </c>
      <c r="C262" s="5" t="s">
        <v>510</v>
      </c>
      <c r="D262" s="6" t="s">
        <v>70</v>
      </c>
      <c r="E262" s="6">
        <v>2004</v>
      </c>
      <c r="F262" s="7">
        <v>98</v>
      </c>
      <c r="G262" s="8">
        <v>6.24</v>
      </c>
      <c r="H262" s="6" t="s">
        <v>529</v>
      </c>
      <c r="I262" s="9" t="str">
        <f>HYPERLINK("https://www.tienda-institutpaulofreire.com/q_popular10.html","Ver ficha")</f>
        <v>Ver ficha</v>
      </c>
      <c r="J262" s="9" t="str">
        <f>HYPERLINK("https://www.tienda-institutpaulofreire.com/images/q_popular/10.png","Ver portada")</f>
        <v>Ver portada</v>
      </c>
    </row>
    <row r="263" ht="51" customHeight="1">
      <c r="A263" s="10" t="s">
        <v>530</v>
      </c>
      <c r="B263" s="10" t="s">
        <v>531</v>
      </c>
      <c r="C263" s="11" t="s">
        <v>510</v>
      </c>
      <c r="D263" s="12" t="s">
        <v>70</v>
      </c>
      <c r="E263" s="12"/>
      <c r="F263" s="13"/>
      <c r="G263" s="14">
        <v>6.24</v>
      </c>
      <c r="H263" s="12"/>
      <c r="I263" s="15" t="str">
        <f>HYPERLINK("https://www.tienda-institutpaulofreire.com/q_popular11.html","Ver ficha")</f>
        <v>Ver ficha</v>
      </c>
      <c r="J263" s="15" t="str">
        <f>HYPERLINK("https://www.tienda-institutpaulofreire.com/images/q_popular/11.png","Ver portada")</f>
        <v>Ver portada</v>
      </c>
    </row>
    <row r="264" ht="36" customHeight="1">
      <c r="A264" s="4" t="s">
        <v>532</v>
      </c>
      <c r="B264" s="4" t="s">
        <v>533</v>
      </c>
      <c r="C264" s="5" t="s">
        <v>510</v>
      </c>
      <c r="D264" s="6" t="s">
        <v>70</v>
      </c>
      <c r="E264" s="6">
        <v>2009</v>
      </c>
      <c r="F264" s="7">
        <v>90</v>
      </c>
      <c r="G264" s="8">
        <v>6.24</v>
      </c>
      <c r="H264" s="6" t="s">
        <v>534</v>
      </c>
      <c r="I264" s="9" t="str">
        <f>HYPERLINK("https://www.tienda-institutpaulofreire.com/q_popular12.html","Ver ficha")</f>
        <v>Ver ficha</v>
      </c>
      <c r="J264" s="9" t="str">
        <f>HYPERLINK("https://www.tienda-institutpaulofreire.com/images/q_popular/12.png","Ver portada")</f>
        <v>Ver portada</v>
      </c>
    </row>
    <row r="265" ht="36" customHeight="1">
      <c r="A265" s="10" t="s">
        <v>535</v>
      </c>
      <c r="B265" s="10" t="s">
        <v>327</v>
      </c>
      <c r="C265" s="11" t="s">
        <v>510</v>
      </c>
      <c r="D265" s="12" t="s">
        <v>70</v>
      </c>
      <c r="E265" s="12">
        <v>2010</v>
      </c>
      <c r="F265" s="13">
        <v>196</v>
      </c>
      <c r="G265" s="14">
        <v>6.24</v>
      </c>
      <c r="H265" s="12" t="s">
        <v>536</v>
      </c>
      <c r="I265" s="15" t="str">
        <f>HYPERLINK("https://www.tienda-institutpaulofreire.com/q_popular13.html","Ver ficha")</f>
        <v>Ver ficha</v>
      </c>
      <c r="J265" s="15" t="str">
        <f>HYPERLINK("https://www.tienda-institutpaulofreire.com/images/q_popular/13.png","Ver portada")</f>
        <v>Ver portada</v>
      </c>
    </row>
    <row r="266" ht="36" customHeight="1">
      <c r="A266" s="4" t="s">
        <v>537</v>
      </c>
      <c r="B266" s="4" t="s">
        <v>327</v>
      </c>
      <c r="C266" s="5" t="s">
        <v>510</v>
      </c>
      <c r="D266" s="6" t="s">
        <v>70</v>
      </c>
      <c r="E266" s="6"/>
      <c r="F266" s="7"/>
      <c r="G266" s="8">
        <v>6.24</v>
      </c>
      <c r="H266" s="6"/>
      <c r="I266" s="9" t="str">
        <f>HYPERLINK("https://www.tienda-institutpaulofreire.com/q_popular14.html","Ver ficha")</f>
        <v>Ver ficha</v>
      </c>
      <c r="J266" s="9" t="str">
        <f>HYPERLINK("https://www.tienda-institutpaulofreire.com/images/q_popular/14.png","Ver portada")</f>
        <v>Ver portada</v>
      </c>
    </row>
    <row r="267" ht="36" customHeight="1">
      <c r="A267" s="10" t="s">
        <v>538</v>
      </c>
      <c r="B267" s="10" t="s">
        <v>327</v>
      </c>
      <c r="C267" s="11" t="s">
        <v>510</v>
      </c>
      <c r="D267" s="12" t="s">
        <v>70</v>
      </c>
      <c r="E267" s="12"/>
      <c r="F267" s="13"/>
      <c r="G267" s="14">
        <v>6.24</v>
      </c>
      <c r="H267" s="12"/>
      <c r="I267" s="15" t="str">
        <f>HYPERLINK("https://www.tienda-institutpaulofreire.com/q_popular15.html","Ver ficha")</f>
        <v>Ver ficha</v>
      </c>
      <c r="J267" s="15" t="str">
        <f>HYPERLINK("https://www.tienda-institutpaulofreire.com/images/q_popular/15.png","Ver portada")</f>
        <v>Ver portada</v>
      </c>
    </row>
    <row r="268" ht="36" customHeight="1">
      <c r="A268" s="4" t="s">
        <v>539</v>
      </c>
      <c r="B268" s="4" t="s">
        <v>102</v>
      </c>
      <c r="C268" s="5" t="s">
        <v>540</v>
      </c>
      <c r="D268" s="6" t="s">
        <v>13</v>
      </c>
      <c r="E268" s="6"/>
      <c r="F268" s="7">
        <v>268</v>
      </c>
      <c r="G268" s="8">
        <v>18.72</v>
      </c>
      <c r="H268" s="6" t="s">
        <v>541</v>
      </c>
      <c r="I268" s="9" t="str">
        <f>HYPERLINK("https://www.tienda-institutpaulofreire.com/sendas01.html","Ver ficha")</f>
        <v>Ver ficha</v>
      </c>
      <c r="J268" s="9" t="str">
        <f>HYPERLINK("https://www.tienda-institutpaulofreire.com/images/sendas/syt001.png","Ver portada")</f>
        <v>Ver portada</v>
      </c>
    </row>
    <row r="269" ht="36" customHeight="1">
      <c r="A269" s="10" t="s">
        <v>542</v>
      </c>
      <c r="B269" s="10" t="s">
        <v>543</v>
      </c>
      <c r="C269" s="11" t="s">
        <v>540</v>
      </c>
      <c r="D269" s="12" t="s">
        <v>13</v>
      </c>
      <c r="E269" s="12">
        <v>2005</v>
      </c>
      <c r="F269" s="13">
        <v>269</v>
      </c>
      <c r="G269" s="14">
        <v>18.72</v>
      </c>
      <c r="H269" s="12" t="s">
        <v>544</v>
      </c>
      <c r="I269" s="15" t="str">
        <f>HYPERLINK("https://www.tienda-institutpaulofreire.com/sendas02.html","Ver ficha")</f>
        <v>Ver ficha</v>
      </c>
      <c r="J269" s="15" t="str">
        <f>HYPERLINK("https://www.tienda-institutpaulofreire.com/images/sendas/syt002.png","Ver portada")</f>
        <v>Ver portada</v>
      </c>
    </row>
    <row r="270" ht="21" customHeight="1">
      <c r="A270" s="4" t="s">
        <v>545</v>
      </c>
      <c r="B270" s="4" t="s">
        <v>102</v>
      </c>
      <c r="C270" s="5" t="s">
        <v>540</v>
      </c>
      <c r="D270" s="6" t="s">
        <v>13</v>
      </c>
      <c r="E270" s="6">
        <v>2006</v>
      </c>
      <c r="F270" s="7">
        <v>183</v>
      </c>
      <c r="G270" s="8">
        <v>18.72</v>
      </c>
      <c r="H270" s="6" t="s">
        <v>546</v>
      </c>
      <c r="I270" s="9" t="str">
        <f>HYPERLINK("https://www.tienda-institutpaulofreire.com/sendas03.html","Ver ficha")</f>
        <v>Ver ficha</v>
      </c>
      <c r="J270" s="9" t="str">
        <f>HYPERLINK("https://www.tienda-institutpaulofreire.com/images/sendas/syt003.png","Ver portada")</f>
        <v>Ver portada</v>
      </c>
    </row>
    <row r="271" ht="21" customHeight="1">
      <c r="A271" s="10" t="s">
        <v>547</v>
      </c>
      <c r="B271" s="10" t="s">
        <v>97</v>
      </c>
      <c r="C271" s="11" t="s">
        <v>540</v>
      </c>
      <c r="D271" s="12" t="s">
        <v>13</v>
      </c>
      <c r="E271" s="12">
        <v>2006</v>
      </c>
      <c r="F271" s="13">
        <v>205</v>
      </c>
      <c r="G271" s="14">
        <v>18.72</v>
      </c>
      <c r="H271" s="12" t="s">
        <v>548</v>
      </c>
      <c r="I271" s="15" t="str">
        <f>HYPERLINK("https://www.tienda-institutpaulofreire.com/sendas04.html","Ver ficha")</f>
        <v>Ver ficha</v>
      </c>
      <c r="J271" s="15" t="str">
        <f>HYPERLINK("https://www.tienda-institutpaulofreire.com/images/sendas/syt004.png","Ver portada")</f>
        <v>Ver portada</v>
      </c>
    </row>
    <row r="272" ht="21" customHeight="1">
      <c r="A272" s="4" t="s">
        <v>549</v>
      </c>
      <c r="B272" s="4" t="s">
        <v>550</v>
      </c>
      <c r="C272" s="5" t="s">
        <v>540</v>
      </c>
      <c r="D272" s="6" t="s">
        <v>13</v>
      </c>
      <c r="E272" s="6">
        <v>2006</v>
      </c>
      <c r="F272" s="7">
        <v>520</v>
      </c>
      <c r="G272" s="8">
        <v>18.72</v>
      </c>
      <c r="H272" s="6" t="s">
        <v>551</v>
      </c>
      <c r="I272" s="9" t="str">
        <f>HYPERLINK("https://www.tienda-institutpaulofreire.com/sendas05.html","Ver ficha")</f>
        <v>Ver ficha</v>
      </c>
      <c r="J272" s="9" t="str">
        <f>HYPERLINK("https://www.tienda-institutpaulofreire.com/images/sendas/syt005.png","Ver portada")</f>
        <v>Ver portada</v>
      </c>
    </row>
    <row r="273" ht="21" customHeight="1">
      <c r="A273" s="10" t="s">
        <v>552</v>
      </c>
      <c r="B273" s="10" t="s">
        <v>293</v>
      </c>
      <c r="C273" s="11" t="s">
        <v>540</v>
      </c>
      <c r="D273" s="12" t="s">
        <v>13</v>
      </c>
      <c r="E273" s="12">
        <v>2007</v>
      </c>
      <c r="F273" s="13">
        <v>343</v>
      </c>
      <c r="G273" s="14">
        <v>18.72</v>
      </c>
      <c r="H273" s="12" t="s">
        <v>553</v>
      </c>
      <c r="I273" s="15" t="str">
        <f>HYPERLINK("https://www.tienda-institutpaulofreire.com/sendas06.html","Ver ficha")</f>
        <v>Ver ficha</v>
      </c>
      <c r="J273" s="15" t="str">
        <f>HYPERLINK("https://www.tienda-institutpaulofreire.com/images/sendas/syt006.png","Ver portada")</f>
        <v>Ver portada</v>
      </c>
    </row>
    <row r="274" ht="36" customHeight="1">
      <c r="A274" s="4" t="s">
        <v>554</v>
      </c>
      <c r="B274" s="4" t="s">
        <v>105</v>
      </c>
      <c r="C274" s="5" t="s">
        <v>540</v>
      </c>
      <c r="D274" s="6" t="s">
        <v>13</v>
      </c>
      <c r="E274" s="6">
        <v>2006</v>
      </c>
      <c r="F274" s="7">
        <v>390</v>
      </c>
      <c r="G274" s="8">
        <v>18.72</v>
      </c>
      <c r="H274" s="6" t="s">
        <v>555</v>
      </c>
      <c r="I274" s="9" t="str">
        <f>HYPERLINK("https://www.tienda-institutpaulofreire.com/sendas07.html","Ver ficha")</f>
        <v>Ver ficha</v>
      </c>
      <c r="J274" s="9" t="str">
        <f>HYPERLINK("https://www.tienda-institutpaulofreire.com/images/sendas/syt007.png","Ver portada")</f>
        <v>Ver portada</v>
      </c>
    </row>
    <row r="275" ht="21" customHeight="1">
      <c r="A275" s="10" t="s">
        <v>556</v>
      </c>
      <c r="B275" s="10" t="s">
        <v>113</v>
      </c>
      <c r="C275" s="11" t="s">
        <v>540</v>
      </c>
      <c r="D275" s="12" t="s">
        <v>13</v>
      </c>
      <c r="E275" s="12">
        <v>2007</v>
      </c>
      <c r="F275" s="13">
        <v>253</v>
      </c>
      <c r="G275" s="14">
        <v>18.72</v>
      </c>
      <c r="H275" s="12" t="s">
        <v>557</v>
      </c>
      <c r="I275" s="15" t="str">
        <f>HYPERLINK("https://www.tienda-institutpaulofreire.com/sendas08.html","Ver ficha")</f>
        <v>Ver ficha</v>
      </c>
      <c r="J275" s="15" t="str">
        <f>HYPERLINK("https://www.tienda-institutpaulofreire.com/images/sendas/syt008.png","Ver portada")</f>
        <v>Ver portada</v>
      </c>
    </row>
    <row r="276" ht="21" customHeight="1">
      <c r="A276" s="4" t="s">
        <v>558</v>
      </c>
      <c r="B276" s="4" t="s">
        <v>310</v>
      </c>
      <c r="C276" s="5" t="s">
        <v>540</v>
      </c>
      <c r="D276" s="6" t="s">
        <v>13</v>
      </c>
      <c r="E276" s="6">
        <v>2007</v>
      </c>
      <c r="F276" s="7">
        <v>175</v>
      </c>
      <c r="G276" s="8">
        <v>18.72</v>
      </c>
      <c r="H276" s="6" t="s">
        <v>559</v>
      </c>
      <c r="I276" s="9" t="str">
        <f>HYPERLINK("https://www.tienda-institutpaulofreire.com/sendas09.html","Ver ficha")</f>
        <v>Ver ficha</v>
      </c>
      <c r="J276" s="9" t="str">
        <f>HYPERLINK("https://www.tienda-institutpaulofreire.com/images/sendas/syt009.png","Ver portada")</f>
        <v>Ver portada</v>
      </c>
    </row>
    <row r="277" ht="36" customHeight="1">
      <c r="A277" s="10" t="s">
        <v>560</v>
      </c>
      <c r="B277" s="10" t="s">
        <v>88</v>
      </c>
      <c r="C277" s="11" t="s">
        <v>540</v>
      </c>
      <c r="D277" s="12" t="s">
        <v>13</v>
      </c>
      <c r="E277" s="12">
        <v>2007</v>
      </c>
      <c r="F277" s="13">
        <v>301</v>
      </c>
      <c r="G277" s="14">
        <v>18.72</v>
      </c>
      <c r="H277" s="12" t="s">
        <v>561</v>
      </c>
      <c r="I277" s="15" t="str">
        <f>HYPERLINK("https://www.tienda-institutpaulofreire.com/sendas10.html","Ver ficha")</f>
        <v>Ver ficha</v>
      </c>
      <c r="J277" s="15" t="str">
        <f>HYPERLINK("https://www.tienda-institutpaulofreire.com/images/sendas/syt010.png","Ver portada")</f>
        <v>Ver portada</v>
      </c>
    </row>
    <row r="278" ht="21" customHeight="1">
      <c r="A278" s="4" t="s">
        <v>562</v>
      </c>
      <c r="B278" s="4" t="s">
        <v>121</v>
      </c>
      <c r="C278" s="5" t="s">
        <v>540</v>
      </c>
      <c r="D278" s="6" t="s">
        <v>13</v>
      </c>
      <c r="E278" s="6">
        <v>2008</v>
      </c>
      <c r="F278" s="7">
        <v>236</v>
      </c>
      <c r="G278" s="8">
        <v>18.72</v>
      </c>
      <c r="H278" s="6" t="s">
        <v>563</v>
      </c>
      <c r="I278" s="9" t="str">
        <f>HYPERLINK("https://www.tienda-institutpaulofreire.com/sendas11.html","Ver ficha")</f>
        <v>Ver ficha</v>
      </c>
      <c r="J278" s="9" t="str">
        <f>HYPERLINK("https://www.tienda-institutpaulofreire.com/images/sendas/syt011.png","Ver portada")</f>
        <v>Ver portada</v>
      </c>
    </row>
    <row r="279" ht="21" customHeight="1">
      <c r="A279" s="10" t="s">
        <v>564</v>
      </c>
      <c r="B279" s="10" t="s">
        <v>268</v>
      </c>
      <c r="C279" s="11" t="s">
        <v>540</v>
      </c>
      <c r="D279" s="12" t="s">
        <v>13</v>
      </c>
      <c r="E279" s="12">
        <v>2008</v>
      </c>
      <c r="F279" s="13">
        <v>142</v>
      </c>
      <c r="G279" s="14">
        <v>18.72</v>
      </c>
      <c r="H279" s="12" t="s">
        <v>565</v>
      </c>
      <c r="I279" s="15" t="str">
        <f>HYPERLINK("https://www.tienda-institutpaulofreire.com/sendas12.html","Ver ficha")</f>
        <v>Ver ficha</v>
      </c>
      <c r="J279" s="15" t="str">
        <f>HYPERLINK("https://www.tienda-institutpaulofreire.com/images/sendas/syt012.png","Ver portada")</f>
        <v>Ver portada</v>
      </c>
    </row>
    <row r="280" ht="21" customHeight="1">
      <c r="A280" s="4" t="s">
        <v>566</v>
      </c>
      <c r="B280" s="4" t="s">
        <v>132</v>
      </c>
      <c r="C280" s="5" t="s">
        <v>540</v>
      </c>
      <c r="D280" s="6" t="s">
        <v>13</v>
      </c>
      <c r="E280" s="6">
        <v>2008</v>
      </c>
      <c r="F280" s="7">
        <v>285</v>
      </c>
      <c r="G280" s="8">
        <v>18.72</v>
      </c>
      <c r="H280" s="6" t="s">
        <v>567</v>
      </c>
      <c r="I280" s="9" t="str">
        <f>HYPERLINK("https://www.tienda-institutpaulofreire.com/sendas13.html","Ver ficha")</f>
        <v>Ver ficha</v>
      </c>
      <c r="J280" s="9" t="str">
        <f>HYPERLINK("https://www.tienda-institutpaulofreire.com/images/sendas/syt013.png","Ver portada")</f>
        <v>Ver portada</v>
      </c>
    </row>
    <row r="281" ht="36" customHeight="1">
      <c r="A281" s="10" t="s">
        <v>568</v>
      </c>
      <c r="B281" s="10" t="s">
        <v>121</v>
      </c>
      <c r="C281" s="11" t="s">
        <v>540</v>
      </c>
      <c r="D281" s="12" t="s">
        <v>13</v>
      </c>
      <c r="E281" s="12">
        <v>2008</v>
      </c>
      <c r="F281" s="13">
        <v>242</v>
      </c>
      <c r="G281" s="14">
        <v>18.72</v>
      </c>
      <c r="H281" s="12" t="s">
        <v>569</v>
      </c>
      <c r="I281" s="15" t="str">
        <f>HYPERLINK("https://www.tienda-institutpaulofreire.com/sendas14.html","Ver ficha")</f>
        <v>Ver ficha</v>
      </c>
      <c r="J281" s="15" t="str">
        <f>HYPERLINK("https://www.tienda-institutpaulofreire.com/images/sendas/syt014.png","Ver portada")</f>
        <v>Ver portada</v>
      </c>
    </row>
    <row r="282" ht="36" customHeight="1">
      <c r="A282" s="4" t="s">
        <v>570</v>
      </c>
      <c r="B282" s="4" t="s">
        <v>571</v>
      </c>
      <c r="C282" s="5" t="s">
        <v>540</v>
      </c>
      <c r="D282" s="6" t="s">
        <v>13</v>
      </c>
      <c r="E282" s="6">
        <v>2008</v>
      </c>
      <c r="F282" s="7">
        <v>224</v>
      </c>
      <c r="G282" s="8">
        <v>18.72</v>
      </c>
      <c r="H282" s="6" t="s">
        <v>572</v>
      </c>
      <c r="I282" s="9" t="str">
        <f>HYPERLINK("https://www.tienda-institutpaulofreire.com/sendas15.html","Ver ficha")</f>
        <v>Ver ficha</v>
      </c>
      <c r="J282" s="9" t="str">
        <f>HYPERLINK("https://www.tienda-institutpaulofreire.com/images/sendas/syt015.png","Ver portada")</f>
        <v>Ver portada</v>
      </c>
    </row>
    <row r="283" ht="36" customHeight="1">
      <c r="A283" s="10" t="s">
        <v>573</v>
      </c>
      <c r="B283" s="10" t="s">
        <v>126</v>
      </c>
      <c r="C283" s="11" t="s">
        <v>540</v>
      </c>
      <c r="D283" s="12" t="s">
        <v>13</v>
      </c>
      <c r="E283" s="12">
        <v>2009</v>
      </c>
      <c r="F283" s="13">
        <v>232</v>
      </c>
      <c r="G283" s="14">
        <v>18.72</v>
      </c>
      <c r="H283" s="12" t="s">
        <v>574</v>
      </c>
      <c r="I283" s="15" t="str">
        <f>HYPERLINK("https://www.tienda-institutpaulofreire.com/sendas16.html","Ver ficha")</f>
        <v>Ver ficha</v>
      </c>
      <c r="J283" s="15" t="str">
        <f>HYPERLINK("https://www.tienda-institutpaulofreire.com/images/sendas/syt016.png","Ver portada")</f>
        <v>Ver portada</v>
      </c>
    </row>
    <row r="284" ht="21" customHeight="1">
      <c r="A284" s="4" t="s">
        <v>575</v>
      </c>
      <c r="B284" s="4" t="s">
        <v>299</v>
      </c>
      <c r="C284" s="5" t="s">
        <v>540</v>
      </c>
      <c r="D284" s="6" t="s">
        <v>13</v>
      </c>
      <c r="E284" s="6">
        <v>2009</v>
      </c>
      <c r="F284" s="7">
        <v>359</v>
      </c>
      <c r="G284" s="8">
        <v>18.72</v>
      </c>
      <c r="H284" s="6" t="s">
        <v>576</v>
      </c>
      <c r="I284" s="9" t="str">
        <f>HYPERLINK("https://www.tienda-institutpaulofreire.com/sendas17.html","Ver ficha")</f>
        <v>Ver ficha</v>
      </c>
      <c r="J284" s="9" t="str">
        <f>HYPERLINK("https://www.tienda-institutpaulofreire.com/images/sendas/syt017.png","Ver portada")</f>
        <v>Ver portada</v>
      </c>
    </row>
    <row r="285" ht="21" customHeight="1">
      <c r="A285" s="10" t="s">
        <v>577</v>
      </c>
      <c r="B285" s="10" t="s">
        <v>195</v>
      </c>
      <c r="C285" s="11" t="s">
        <v>540</v>
      </c>
      <c r="D285" s="12" t="s">
        <v>13</v>
      </c>
      <c r="E285" s="12">
        <v>2009</v>
      </c>
      <c r="F285" s="13">
        <v>204</v>
      </c>
      <c r="G285" s="14">
        <v>18.72</v>
      </c>
      <c r="H285" s="12" t="s">
        <v>578</v>
      </c>
      <c r="I285" s="15" t="str">
        <f>HYPERLINK("https://www.tienda-institutpaulofreire.com/sendas18.html","Ver ficha")</f>
        <v>Ver ficha</v>
      </c>
      <c r="J285" s="15" t="str">
        <f>HYPERLINK("https://www.tienda-institutpaulofreire.com/images/sendas/syt018.png","Ver portada")</f>
        <v>Ver portada</v>
      </c>
    </row>
    <row r="286" ht="21" customHeight="1">
      <c r="A286" s="4" t="s">
        <v>579</v>
      </c>
      <c r="B286" s="4" t="s">
        <v>132</v>
      </c>
      <c r="C286" s="5" t="s">
        <v>540</v>
      </c>
      <c r="D286" s="6" t="s">
        <v>13</v>
      </c>
      <c r="E286" s="6">
        <v>2009</v>
      </c>
      <c r="F286" s="7">
        <v>50</v>
      </c>
      <c r="G286" s="8">
        <v>18.72</v>
      </c>
      <c r="H286" s="6" t="s">
        <v>580</v>
      </c>
      <c r="I286" s="9" t="str">
        <f>HYPERLINK("https://www.tienda-institutpaulofreire.com/sendas19.html","Ver ficha")</f>
        <v>Ver ficha</v>
      </c>
      <c r="J286" s="9" t="str">
        <f>HYPERLINK("https://www.tienda-institutpaulofreire.com/images/sendas/syt019.png","Ver portada")</f>
        <v>Ver portada</v>
      </c>
    </row>
    <row r="287" ht="51" customHeight="1">
      <c r="A287" s="10" t="s">
        <v>581</v>
      </c>
      <c r="B287" s="10" t="s">
        <v>582</v>
      </c>
      <c r="C287" s="11" t="s">
        <v>540</v>
      </c>
      <c r="D287" s="12" t="s">
        <v>13</v>
      </c>
      <c r="E287" s="12">
        <v>2010</v>
      </c>
      <c r="F287" s="13">
        <v>160</v>
      </c>
      <c r="G287" s="14">
        <v>18.72</v>
      </c>
      <c r="H287" s="12" t="s">
        <v>583</v>
      </c>
      <c r="I287" s="15" t="str">
        <f>HYPERLINK("https://www.tienda-institutpaulofreire.com/sendas20.html","Ver ficha")</f>
        <v>Ver ficha</v>
      </c>
      <c r="J287" s="15" t="str">
        <f>HYPERLINK("https://www.tienda-institutpaulofreire.com/images/sendas/syt020.png","Ver portada")</f>
        <v>Ver portada</v>
      </c>
    </row>
    <row r="288" ht="21" customHeight="1">
      <c r="A288" s="4" t="s">
        <v>584</v>
      </c>
      <c r="B288" s="4" t="s">
        <v>585</v>
      </c>
      <c r="C288" s="5" t="s">
        <v>540</v>
      </c>
      <c r="D288" s="6" t="s">
        <v>13</v>
      </c>
      <c r="E288" s="6">
        <v>2010</v>
      </c>
      <c r="F288" s="7">
        <v>164</v>
      </c>
      <c r="G288" s="8">
        <v>18.72</v>
      </c>
      <c r="H288" s="6" t="s">
        <v>135</v>
      </c>
      <c r="I288" s="9" t="str">
        <f>HYPERLINK("https://www.tienda-institutpaulofreire.com/sendas21.html","Ver ficha")</f>
        <v>Ver ficha</v>
      </c>
      <c r="J288" s="9" t="str">
        <f>HYPERLINK("https://www.tienda-institutpaulofreire.com/images/sendas/syt021.png","Ver portada")</f>
        <v>Ver portada</v>
      </c>
    </row>
    <row r="289" ht="21" customHeight="1">
      <c r="A289" s="10" t="s">
        <v>586</v>
      </c>
      <c r="B289" s="10" t="s">
        <v>137</v>
      </c>
      <c r="C289" s="11" t="s">
        <v>540</v>
      </c>
      <c r="D289" s="12" t="s">
        <v>13</v>
      </c>
      <c r="E289" s="12">
        <v>2010</v>
      </c>
      <c r="F289" s="13">
        <v>290</v>
      </c>
      <c r="G289" s="14">
        <v>18.72</v>
      </c>
      <c r="H289" s="12" t="s">
        <v>138</v>
      </c>
      <c r="I289" s="15" t="str">
        <f>HYPERLINK("https://www.tienda-institutpaulofreire.com/sendas22.html","Ver ficha")</f>
        <v>Ver ficha</v>
      </c>
      <c r="J289" s="15" t="str">
        <f>HYPERLINK("https://www.tienda-institutpaulofreire.com/images/sendas/syt022.png","Ver portada")</f>
        <v>Ver portada</v>
      </c>
    </row>
    <row r="290" ht="36" customHeight="1">
      <c r="A290" s="4" t="s">
        <v>587</v>
      </c>
      <c r="B290" s="4" t="s">
        <v>188</v>
      </c>
      <c r="C290" s="5" t="s">
        <v>540</v>
      </c>
      <c r="D290" s="6" t="s">
        <v>13</v>
      </c>
      <c r="E290" s="6">
        <v>2010</v>
      </c>
      <c r="F290" s="7">
        <v>283</v>
      </c>
      <c r="G290" s="8">
        <v>18.72</v>
      </c>
      <c r="H290" s="6" t="s">
        <v>588</v>
      </c>
      <c r="I290" s="9" t="str">
        <f>HYPERLINK("https://www.tienda-institutpaulofreire.com/sendas23.html","Ver ficha")</f>
        <v>Ver ficha</v>
      </c>
      <c r="J290" s="9" t="str">
        <f>HYPERLINK("https://www.tienda-institutpaulofreire.com/images/sendas/syt023.png","Ver portada")</f>
        <v>Ver portada</v>
      </c>
    </row>
    <row r="291" ht="21" customHeight="1">
      <c r="A291" s="10" t="s">
        <v>589</v>
      </c>
      <c r="B291" s="10" t="s">
        <v>140</v>
      </c>
      <c r="C291" s="11" t="s">
        <v>540</v>
      </c>
      <c r="D291" s="12" t="s">
        <v>13</v>
      </c>
      <c r="E291" s="12">
        <v>2010</v>
      </c>
      <c r="F291" s="13">
        <v>307</v>
      </c>
      <c r="G291" s="14">
        <v>18.72</v>
      </c>
      <c r="H291" s="12" t="s">
        <v>590</v>
      </c>
      <c r="I291" s="15" t="str">
        <f>HYPERLINK("https://www.tienda-institutpaulofreire.com/sendas24.html","Ver ficha")</f>
        <v>Ver ficha</v>
      </c>
      <c r="J291" s="15" t="str">
        <f>HYPERLINK("https://www.tienda-institutpaulofreire.com/images/sendas/syt024.png","Ver portada")</f>
        <v>Ver portada</v>
      </c>
    </row>
    <row r="292" ht="36" customHeight="1">
      <c r="A292" s="4" t="s">
        <v>591</v>
      </c>
      <c r="B292" s="4" t="s">
        <v>195</v>
      </c>
      <c r="C292" s="5" t="s">
        <v>540</v>
      </c>
      <c r="D292" s="6" t="s">
        <v>13</v>
      </c>
      <c r="E292" s="6">
        <v>2010</v>
      </c>
      <c r="F292" s="7">
        <v>195</v>
      </c>
      <c r="G292" s="8">
        <v>18.72</v>
      </c>
      <c r="H292" s="6" t="s">
        <v>592</v>
      </c>
      <c r="I292" s="9" t="str">
        <f>HYPERLINK("https://www.tienda-institutpaulofreire.com/sendas25.html","Ver ficha")</f>
        <v>Ver ficha</v>
      </c>
      <c r="J292" s="9" t="str">
        <f>HYPERLINK("https://www.tienda-institutpaulofreire.com/images/sendas/syt025.png","Ver portada")</f>
        <v>Ver portada</v>
      </c>
    </row>
    <row r="293" ht="21" customHeight="1">
      <c r="A293" s="10" t="s">
        <v>593</v>
      </c>
      <c r="B293" s="10" t="s">
        <v>145</v>
      </c>
      <c r="C293" s="11" t="s">
        <v>540</v>
      </c>
      <c r="D293" s="12" t="s">
        <v>13</v>
      </c>
      <c r="E293" s="12">
        <v>2012</v>
      </c>
      <c r="F293" s="13">
        <v>152</v>
      </c>
      <c r="G293" s="14">
        <v>18.72</v>
      </c>
      <c r="H293" s="12" t="s">
        <v>594</v>
      </c>
      <c r="I293" s="15" t="str">
        <f>HYPERLINK("https://www.tienda-institutpaulofreire.com/sendas26.html","Ver ficha")</f>
        <v>Ver ficha</v>
      </c>
      <c r="J293" s="15" t="str">
        <f>HYPERLINK("https://www.tienda-institutpaulofreire.com/images/sendas/syt026.png","Ver portada")</f>
        <v>Ver portada</v>
      </c>
    </row>
    <row r="294" ht="36" customHeight="1">
      <c r="A294" s="4" t="s">
        <v>595</v>
      </c>
      <c r="B294" s="4" t="s">
        <v>275</v>
      </c>
      <c r="C294" s="5" t="s">
        <v>540</v>
      </c>
      <c r="D294" s="6" t="s">
        <v>13</v>
      </c>
      <c r="E294" s="6">
        <v>2011</v>
      </c>
      <c r="F294" s="7">
        <v>237</v>
      </c>
      <c r="G294" s="8">
        <v>18.72</v>
      </c>
      <c r="H294" s="6" t="s">
        <v>276</v>
      </c>
      <c r="I294" s="9" t="str">
        <f>HYPERLINK("https://www.tienda-institutpaulofreire.com/sendas27.html","Ver ficha")</f>
        <v>Ver ficha</v>
      </c>
      <c r="J294" s="9" t="str">
        <f>HYPERLINK("https://www.tienda-institutpaulofreire.com/images/sendas/syt027.png","Ver portada")</f>
        <v>Ver portada</v>
      </c>
    </row>
    <row r="295" ht="21" customHeight="1">
      <c r="A295" s="10" t="s">
        <v>596</v>
      </c>
      <c r="B295" s="10" t="s">
        <v>55</v>
      </c>
      <c r="C295" s="11" t="s">
        <v>540</v>
      </c>
      <c r="D295" s="12" t="s">
        <v>13</v>
      </c>
      <c r="E295" s="12">
        <v>2011</v>
      </c>
      <c r="F295" s="13">
        <v>102</v>
      </c>
      <c r="G295" s="14">
        <v>18.72</v>
      </c>
      <c r="H295" s="12" t="s">
        <v>148</v>
      </c>
      <c r="I295" s="15" t="str">
        <f>HYPERLINK("https://www.tienda-institutpaulofreire.com/sendas28.html","Ver ficha")</f>
        <v>Ver ficha</v>
      </c>
      <c r="J295" s="15" t="str">
        <f>HYPERLINK("https://www.tienda-institutpaulofreire.com/images/sendas/syt028.png","Ver portada")</f>
        <v>Ver portada</v>
      </c>
    </row>
    <row r="296" ht="21" customHeight="1">
      <c r="A296" s="4" t="s">
        <v>597</v>
      </c>
      <c r="B296" s="4" t="s">
        <v>327</v>
      </c>
      <c r="C296" s="5" t="s">
        <v>540</v>
      </c>
      <c r="D296" s="6" t="s">
        <v>13</v>
      </c>
      <c r="E296" s="6"/>
      <c r="F296" s="7">
        <v>463</v>
      </c>
      <c r="G296" s="8">
        <v>18.72</v>
      </c>
      <c r="H296" s="6" t="s">
        <v>598</v>
      </c>
      <c r="I296" s="9" t="str">
        <f>HYPERLINK("https://www.tienda-institutpaulofreire.com/sendas29.html","Ver ficha")</f>
        <v>Ver ficha</v>
      </c>
      <c r="J296" s="9" t="str">
        <f>HYPERLINK("https://www.tienda-institutpaulofreire.com/images/sendas/syt029.png","Ver portada")</f>
        <v>Ver portada</v>
      </c>
    </row>
    <row r="297" ht="36" customHeight="1">
      <c r="A297" s="10" t="s">
        <v>599</v>
      </c>
      <c r="B297" s="10" t="s">
        <v>278</v>
      </c>
      <c r="C297" s="11" t="s">
        <v>540</v>
      </c>
      <c r="D297" s="12" t="s">
        <v>13</v>
      </c>
      <c r="E297" s="12"/>
      <c r="F297" s="13">
        <v>394</v>
      </c>
      <c r="G297" s="14">
        <v>18.72</v>
      </c>
      <c r="H297" s="12" t="s">
        <v>600</v>
      </c>
      <c r="I297" s="15" t="str">
        <f>HYPERLINK("https://www.tienda-institutpaulofreire.com/sendas30.html","Ver ficha")</f>
        <v>Ver ficha</v>
      </c>
      <c r="J297" s="15" t="str">
        <f>HYPERLINK("https://www.tienda-institutpaulofreire.com/images/sendas/syt030.png","Ver portada")</f>
        <v>Ver portada</v>
      </c>
    </row>
    <row r="298" ht="21" customHeight="1">
      <c r="A298" s="4" t="s">
        <v>601</v>
      </c>
      <c r="B298" s="4" t="s">
        <v>327</v>
      </c>
      <c r="C298" s="5" t="s">
        <v>540</v>
      </c>
      <c r="D298" s="6" t="s">
        <v>13</v>
      </c>
      <c r="E298" s="6"/>
      <c r="F298" s="7">
        <v>190</v>
      </c>
      <c r="G298" s="8">
        <v>18.72</v>
      </c>
      <c r="H298" s="6" t="s">
        <v>602</v>
      </c>
      <c r="I298" s="9" t="str">
        <f>HYPERLINK("https://www.tienda-institutpaulofreire.com/sendas31.html","Ver ficha")</f>
        <v>Ver ficha</v>
      </c>
      <c r="J298" s="9" t="str">
        <f>HYPERLINK("https://www.tienda-institutpaulofreire.com/images/sendas/syt031.png","Ver portada")</f>
        <v>Ver portada</v>
      </c>
    </row>
    <row r="299" ht="21" customHeight="1">
      <c r="A299" s="10" t="s">
        <v>603</v>
      </c>
      <c r="B299" s="10" t="s">
        <v>155</v>
      </c>
      <c r="C299" s="11" t="s">
        <v>540</v>
      </c>
      <c r="D299" s="12" t="s">
        <v>13</v>
      </c>
      <c r="E299" s="12"/>
      <c r="F299" s="13">
        <v>316</v>
      </c>
      <c r="G299" s="14">
        <v>18.72</v>
      </c>
      <c r="H299" s="12" t="s">
        <v>604</v>
      </c>
      <c r="I299" s="15" t="str">
        <f>HYPERLINK("https://www.tienda-institutpaulofreire.com/sendas32.html","Ver ficha")</f>
        <v>Ver ficha</v>
      </c>
      <c r="J299" s="15" t="str">
        <f>HYPERLINK("https://www.tienda-institutpaulofreire.com/images/sendas/syt032.png","Ver portada")</f>
        <v>Ver portada</v>
      </c>
    </row>
    <row r="300" ht="21" customHeight="1">
      <c r="A300" s="4" t="s">
        <v>605</v>
      </c>
      <c r="B300" s="4" t="s">
        <v>158</v>
      </c>
      <c r="C300" s="5" t="s">
        <v>540</v>
      </c>
      <c r="D300" s="6" t="s">
        <v>13</v>
      </c>
      <c r="E300" s="6"/>
      <c r="F300" s="7">
        <v>384</v>
      </c>
      <c r="G300" s="8">
        <v>18.72</v>
      </c>
      <c r="H300" s="6" t="s">
        <v>606</v>
      </c>
      <c r="I300" s="9" t="str">
        <f>HYPERLINK("https://www.tienda-institutpaulofreire.com/sendas33.html","Ver ficha")</f>
        <v>Ver ficha</v>
      </c>
      <c r="J300" s="9" t="str">
        <f>HYPERLINK("https://www.tienda-institutpaulofreire.com/images/sendas/syt033.png","Ver portada")</f>
        <v>Ver portada</v>
      </c>
    </row>
    <row r="301" ht="36" customHeight="1">
      <c r="A301" s="10" t="s">
        <v>607</v>
      </c>
      <c r="B301" s="10" t="s">
        <v>281</v>
      </c>
      <c r="C301" s="11" t="s">
        <v>540</v>
      </c>
      <c r="D301" s="12" t="s">
        <v>13</v>
      </c>
      <c r="E301" s="12"/>
      <c r="F301" s="13"/>
      <c r="G301" s="14">
        <v>18.72</v>
      </c>
      <c r="H301" s="12"/>
      <c r="I301" s="15" t="str">
        <f>HYPERLINK("https://www.tienda-institutpaulofreire.com/sendas34.html","Ver ficha")</f>
        <v>Ver ficha</v>
      </c>
      <c r="J301" s="15" t="str">
        <f>HYPERLINK("https://www.tienda-institutpaulofreire.com/images/sendas/syt034.png","Ver portada")</f>
        <v>Ver portada</v>
      </c>
    </row>
    <row r="302" ht="36" customHeight="1">
      <c r="A302" s="4" t="s">
        <v>608</v>
      </c>
      <c r="B302" s="4" t="s">
        <v>609</v>
      </c>
      <c r="C302" s="5" t="s">
        <v>540</v>
      </c>
      <c r="D302" s="6" t="s">
        <v>13</v>
      </c>
      <c r="E302" s="6"/>
      <c r="F302" s="7"/>
      <c r="G302" s="8">
        <v>18.72</v>
      </c>
      <c r="H302" s="6"/>
      <c r="I302" s="9" t="str">
        <f>HYPERLINK("https://www.tienda-institutpaulofreire.com/sendas35.html","Ver ficha")</f>
        <v>Ver ficha</v>
      </c>
      <c r="J302" s="9" t="str">
        <f>HYPERLINK("https://www.tienda-institutpaulofreire.com/images/sendas/syt035.png","Ver portada")</f>
        <v>Ver portada</v>
      </c>
    </row>
    <row r="303" ht="21" customHeight="1">
      <c r="A303" s="10" t="s">
        <v>610</v>
      </c>
      <c r="B303" s="10" t="s">
        <v>121</v>
      </c>
      <c r="C303" s="11" t="s">
        <v>540</v>
      </c>
      <c r="D303" s="12" t="s">
        <v>13</v>
      </c>
      <c r="E303" s="12"/>
      <c r="F303" s="13"/>
      <c r="G303" s="14">
        <v>18.72</v>
      </c>
      <c r="H303" s="12"/>
      <c r="I303" s="15" t="str">
        <f>HYPERLINK("https://www.tienda-institutpaulofreire.com/sendas36.html","Ver ficha")</f>
        <v>Ver ficha</v>
      </c>
      <c r="J303" s="15" t="str">
        <f>HYPERLINK("https://www.tienda-institutpaulofreire.com/images/sendas/syt036.png","Ver portada")</f>
        <v>Ver portada</v>
      </c>
    </row>
    <row r="304" ht="36" customHeight="1">
      <c r="A304" s="4" t="s">
        <v>611</v>
      </c>
      <c r="B304" s="4" t="s">
        <v>121</v>
      </c>
      <c r="C304" s="5" t="s">
        <v>540</v>
      </c>
      <c r="D304" s="6" t="s">
        <v>13</v>
      </c>
      <c r="E304" s="6"/>
      <c r="F304" s="7"/>
      <c r="G304" s="8">
        <v>18.72</v>
      </c>
      <c r="H304" s="6"/>
      <c r="I304" s="9" t="str">
        <f>HYPERLINK("https://www.tienda-institutpaulofreire.com/sendas37.html","Ver ficha")</f>
        <v>Ver ficha</v>
      </c>
      <c r="J304" s="9" t="str">
        <f>HYPERLINK("https://www.tienda-institutpaulofreire.com/images/sendas/syt037.png","Ver portada")</f>
        <v>Ver portada</v>
      </c>
    </row>
    <row r="305" ht="36" customHeight="1">
      <c r="A305" s="10" t="s">
        <v>612</v>
      </c>
      <c r="B305" s="10" t="s">
        <v>121</v>
      </c>
      <c r="C305" s="11" t="s">
        <v>540</v>
      </c>
      <c r="D305" s="12" t="s">
        <v>13</v>
      </c>
      <c r="E305" s="12"/>
      <c r="F305" s="13"/>
      <c r="G305" s="14">
        <v>18.72</v>
      </c>
      <c r="H305" s="12"/>
      <c r="I305" s="15" t="str">
        <f>HYPERLINK("https://www.tienda-institutpaulofreire.com/sendas38.html","Ver ficha")</f>
        <v>Ver ficha</v>
      </c>
      <c r="J305" s="15" t="str">
        <f>HYPERLINK("https://www.tienda-institutpaulofreire.com/images/sendas/syt038.png","Ver portada")</f>
        <v>Ver portada</v>
      </c>
    </row>
    <row r="306" ht="36" customHeight="1">
      <c r="A306" s="4" t="s">
        <v>613</v>
      </c>
      <c r="B306" s="4" t="s">
        <v>614</v>
      </c>
      <c r="C306" s="5" t="s">
        <v>540</v>
      </c>
      <c r="D306" s="6" t="s">
        <v>13</v>
      </c>
      <c r="E306" s="6"/>
      <c r="F306" s="7"/>
      <c r="G306" s="8">
        <v>18.72</v>
      </c>
      <c r="H306" s="6" t="s">
        <v>615</v>
      </c>
      <c r="I306" s="9" t="str">
        <f>HYPERLINK("https://www.tienda-institutpaulofreire.com/sendas39.html","Ver ficha")</f>
        <v>Ver ficha</v>
      </c>
      <c r="J306" s="9" t="str">
        <f>HYPERLINK("https://www.tienda-institutpaulofreire.com/images/sendas/syt039.png","Ver portada")</f>
        <v>Ver portada</v>
      </c>
    </row>
  </sheetData>
  <autoFilter ref="A1:J306"/>
  <pageMargins left="0.4" right="0.4" top="0.6" bottom="0.6" header="0.3" footer="0.3"/>
  <pageSetup paperSize="9" orientation="landscape" fitToWidth="1" fitToHeight="0"/>
  <headerFooter>
    <oddFooter>&amp;LInstitut Paulo Freire de España&amp;RPágina &amp;P de &amp;N</oddFooter>
  </headerFooter>
  <ignoredErrors>
    <ignoredError sqref="H2:H306" numberStoredAsText="1"/>
  </ignoredErrors>
</worksheet>
</file>

<file path=docProps/core.xml><?xml version="1.0" encoding="utf-8"?>
<cp:coreProperties xmlns:cp="http://schemas.openxmlformats.org/package/2006/metadata/core-properties" xmlns:dc="http://purl.org/dc/elements/1.1/">
  <dc:title>Catálogo de publicaciones</dc:title>
  <dc:subject>Tienda del Institut Paulo Freire de España</dc:subject>
  <dc:creator>Institut Paulo Freire de España</dc:creator>
</cp:coreProperties>
</file>